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18" i="15"/>
  <c r="C20" s="1"/>
  <c r="D36" i="14" s="1"/>
  <c r="C20" i="16"/>
  <c r="C22" s="1"/>
  <c r="D39" i="14" s="1"/>
  <c r="O13"/>
  <c r="O15"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<sst xmlns="http://schemas.openxmlformats.org/spreadsheetml/2006/main" count="1923" uniqueCount="816">
  <si>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</si>
  <si>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</si>
  <si>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</si>
  <si>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</si>
  <si>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</si>
  <si>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</si>
  <si>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</si>
  <si>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</si>
  <si>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</si>
  <si>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</si>
  <si>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</si>
  <si>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</si>
  <si>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</si>
  <si>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</si>
  <si>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</si>
  <si>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</si>
  <si>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</si>
  <si>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</si>
  <si>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</si>
  <si>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</si>
  <si>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</si>
  <si>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</si>
  <si>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</si>
  <si>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</si>
  <si>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</si>
  <si>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</si>
  <si>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</si>
  <si>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</si>
  <si>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</si>
  <si>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</si>
  <si>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</si>
  <si>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</si>
  <si>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</si>
  <si>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</si>
  <si>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</si>
  <si>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</si>
  <si>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</si>
  <si>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</si>
  <si>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</si>
  <si>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</si>
  <si>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</si>
  <si>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</si>
  <si>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</si>
  <si>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</si>
  <si>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</si>
  <si>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</si>
  <si>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</si>
  <si>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</si>
  <si>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</si>
  <si>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</si>
  <si>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</si>
  <si>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</si>
  <si>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</si>
  <si>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</si>
  <si>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</si>
  <si>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</si>
  <si>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</si>
  <si>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</si>
  <si>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</si>
  <si>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</si>
  <si>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</si>
  <si>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</si>
  <si>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</si>
  <si>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</si>
  <si>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</si>
  <si>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</si>
  <si>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</si>
  <si>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</si>
  <si>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</si>
  <si>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</si>
  <si>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</si>
  <si>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</si>
  <si>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</si>
  <si>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</si>
  <si>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</si>
  <si>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</si>
  <si>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</si>
  <si>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</si>
  <si>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</si>
  <si>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</si>
  <si>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</si>
  <si>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</si>
  <si>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</si>
  <si>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</si>
  <si>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</si>
  <si>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</si>
  <si>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</si>
  <si>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</si>
  <si>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</si>
  <si>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</si>
  <si>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</si>
  <si>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</si>
  <si>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</si>
  <si>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</si>
  <si>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</si>
  <si>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</si>
  <si>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</si>
  <si>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</si>
  <si>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</si>
  <si>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</si>
  <si>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</si>
  <si>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</si>
  <si>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</si>
  <si>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</si>
  <si>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</si>
  <si>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</si>
  <si>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</si>
  <si>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</si>
  <si>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</si>
  <si>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</si>
  <si>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</si>
  <si>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</si>
  <si>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</si>
  <si>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</si>
  <si>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</si>
  <si>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</si>
  <si>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</si>
  <si>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</si>
  <si>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</si>
  <si>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</si>
  <si>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</si>
  <si>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</si>
  <si>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</si>
  <si>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</si>
  <si>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</si>
  <si>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</si>
  <si>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</si>
  <si>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</si>
  <si>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</si>
  <si>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</si>
  <si>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</si>
  <si>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</si>
  <si>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</si>
  <si>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</si>
  <si>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</si>
  <si>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</si>
  <si>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</si>
  <si>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</si>
  <si>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</si>
  <si>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</si>
  <si>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</si>
  <si>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</si>
  <si>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</si>
  <si>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</si>
  <si>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</si>
  <si>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</si>
  <si>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</si>
  <si>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</si>
  <si>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</si>
  <si>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</si>
  <si>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</si>
  <si>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</si>
  <si>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</si>
  <si>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</si>
  <si>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</si>
  <si>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</si>
  <si>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</si>
  <si>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</si>
  <si>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</si>
  <si>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</si>
  <si>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</si>
  <si>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</si>
  <si>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</si>
  <si>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</si>
  <si>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</si>
  <si>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</si>
  <si>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</si>
  <si>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</si>
  <si>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</si>
  <si>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</si>
  <si>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</si>
  <si>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</si>
  <si>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</si>
  <si>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</si>
  <si>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</si>
  <si>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</si>
  <si>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</si>
  <si>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</si>
  <si>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</si>
  <si>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</si>
  <si>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</si>
  <si>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</si>
  <si>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</si>
  <si>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</si>
  <si>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</si>
  <si>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</si>
  <si>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</si>
  <si>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</si>
  <si>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</si>
  <si>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</si>
  <si>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</si>
  <si>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</si>
  <si>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</si>
  <si>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</si>
  <si>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</si>
  <si>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</si>
  <si>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</si>
  <si>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</si>
  <si>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</si>
  <si>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</si>
  <si>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</si>
  <si>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</si>
  <si>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</si>
  <si>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</si>
  <si>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</si>
  <si>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</si>
  <si>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</si>
  <si>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</si>
  <si>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</si>
  <si>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</si>
  <si>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</si>
  <si>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</si>
  <si>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</si>
  <si>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</si>
  <si>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</si>
  <si>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</si>
  <si>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</si>
  <si>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</si>
  <si>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</si>
  <si>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</si>
  <si>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</si>
  <si>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</si>
  <si>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</si>
  <si>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</si>
  <si>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</si>
  <si>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</si>
  <si>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</si>
  <si>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</si>
  <si>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</si>
  <si>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</si>
  <si>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</si>
  <si>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</si>
  <si>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</si>
  <si>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</si>
  <si>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</si>
  <si>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</si>
  <si>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</si>
  <si>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</si>
  <si>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</si>
  <si>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</si>
  <si>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</si>
  <si>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</si>
  <si>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</si>
  <si>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</si>
  <si>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</si>
  <si>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</si>
  <si>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</si>
  <si>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</si>
  <si>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</si>
  <si>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</si>
  <si>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</si>
  <si>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</si>
  <si>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</si>
  <si>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</si>
  <si>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</si>
  <si>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</si>
  <si>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</si>
  <si>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</si>
  <si>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</si>
  <si>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</si>
  <si>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</si>
  <si>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</si>
  <si>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</si>
  <si>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</si>
  <si>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</si>
  <si>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</si>
  <si>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</si>
  <si>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</si>
  <si>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</si>
  <si>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</si>
  <si>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</si>
  <si>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</si>
  <si>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</si>
  <si>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</si>
  <si>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</si>
  <si>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</si>
  <si>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</si>
  <si>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</si>
  <si>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</si>
  <si>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</si>
  <si>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</si>
  <si>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</si>
  <si>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</si>
  <si>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</si>
  <si>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</si>
  <si>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</si>
  <si>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</si>
  <si>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</si>
  <si>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</si>
  <si>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</si>
  <si>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</si>
  <si>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</si>
  <si>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</si>
  <si>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</si>
  <si>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</si>
  <si>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</si>
  <si>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</si>
  <si>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</si>
  <si>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</si>
  <si>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</si>
  <si>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</si>
  <si>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</si>
  <si>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</si>
  <si>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</si>
  <si>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</si>
  <si>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</si>
  <si>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</si>
  <si>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</si>
  <si>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</si>
  <si>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</si>
  <si>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</si>
  <si>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</si>
  <si>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</si>
  <si>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</si>
  <si>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</si>
  <si>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</si>
  <si>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</si>
  <si>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</si>
  <si>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</si>
  <si>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</si>
  <si>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</si>
  <si>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</si>
  <si>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</si>
  <si>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</si>
  <si>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</si>
  <si>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</si>
  <si>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</si>
  <si>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</si>
  <si>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</si>
  <si>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</si>
  <si>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</si>
  <si>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</si>
  <si>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</si>
  <si>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</si>
  <si>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</si>
  <si>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</si>
  <si>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</si>
  <si>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</si>
  <si>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</si>
  <si>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</si>
  <si>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</si>
  <si>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</si>
  <si>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</si>
  <si>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</si>
  <si>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</si>
  <si>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</si>
  <si>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</si>
  <si>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</si>
  <si>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</si>
  <si>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</si>
  <si>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</si>
  <si>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</si>
  <si>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</si>
  <si>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</si>
  <si>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</si>
  <si>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</si>
  <si>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</si>
  <si>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</si>
  <si>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</si>
  <si>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</si>
  <si>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</si>
  <si>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</si>
  <si>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</si>
  <si>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</si>
  <si>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</si>
  <si>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</si>
  <si>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</si>
  <si>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</si>
  <si>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</si>
  <si>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</si>
  <si>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</si>
  <si>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</si>
  <si>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</si>
  <si>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</si>
  <si>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</si>
  <si>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</si>
  <si>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</si>
  <si>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</si>
  <si>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</si>
  <si>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</si>
  <si>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</si>
  <si>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</si>
  <si>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</si>
  <si>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</si>
  <si>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</si>
  <si>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</si>
  <si>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</si>
  <si>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</si>
  <si>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</si>
  <si>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</si>
  <si>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</si>
  <si>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</si>
  <si>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</si>
  <si>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</si>
  <si>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</si>
  <si>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</si>
  <si>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</si>
  <si>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</si>
  <si>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</si>
  <si>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</si>
  <si>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</si>
  <si>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</si>
  <si>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</si>
  <si>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</si>
  <si>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</si>
  <si>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</si>
  <si>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</si>
  <si>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</si>
  <si>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</si>
  <si>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</si>
  <si>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</si>
  <si>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</si>
  <si>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</si>
  <si>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</si>
  <si>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</si>
  <si>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</si>
  <si>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</si>
  <si>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</si>
  <si>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</si>
  <si>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</si>
  <si>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</si>
  <si>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</si>
  <si>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</si>
  <si>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</si>
  <si>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</si>
  <si>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</si>
  <si>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</si>
  <si>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</si>
  <si>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</si>
  <si>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</si>
  <si>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</si>
  <si>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</si>
  <si>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</si>
  <si>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</si>
  <si>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</si>
  <si>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</si>
  <si>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</si>
  <si>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</si>
  <si>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</si>
  <si>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</si>
  <si>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</si>
  <si>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</si>
  <si>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</si>
  <si>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</si>
  <si>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</si>
  <si>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</si>
  <si>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</si>
  <si>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</si>
  <si>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</si>
  <si>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</si>
  <si>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</si>
  <si>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</si>
  <si>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</si>
  <si>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</si>
  <si>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</si>
  <si>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</si>
  <si>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</si>
  <si>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</si>
  <si>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</si>
  <si>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</si>
  <si>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</si>
  <si>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</si>
  <si>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</si>
  <si>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</si>
  <si>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</si>
  <si>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</si>
  <si>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</si>
  <si>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</si>
  <si>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</si>
  <si>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</si>
  <si>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</si>
  <si>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</si>
  <si>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</si>
  <si>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</si>
  <si>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</si>
  <si>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</si>
  <si>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</si>
  <si>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</si>
  <si>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</si>
  <si>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</si>
  <si>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</si>
  <si>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</si>
  <si>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</si>
  <si>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</si>
  <si>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</si>
  <si>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</si>
  <si>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</si>
  <si>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</si>
  <si>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</si>
  <si>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</si>
  <si>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</si>
  <si>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</si>
  <si>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</si>
  <si>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</si>
  <si>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</si>
  <si>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</si>
  <si>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</si>
  <si>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</si>
  <si>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</si>
  <si>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</si>
  <si>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</si>
  <si>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</si>
  <si>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</si>
  <si>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</si>
  <si>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</si>
  <si>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</si>
  <si>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</si>
  <si>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</si>
  <si>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</si>
  <si>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</si>
  <si>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</si>
  <si>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</si>
  <si>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</si>
  <si>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</si>
  <si>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</si>
  <si>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</si>
  <si>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</si>
  <si>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</si>
  <si>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</si>
  <si>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</si>
  <si>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</si>
  <si>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</si>
  <si>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</si>
  <si>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</si>
  <si>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</si>
  <si>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</si>
  <si>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</si>
  <si>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</si>
  <si>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</si>
  <si>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</si>
  <si>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</si>
  <si>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</si>
  <si>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</si>
  <si>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</si>
  <si>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</si>
  <si>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</si>
  <si>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</si>
  <si>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</si>
  <si>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</si>
  <si>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</si>
  <si>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</si>
  <si>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</si>
  <si>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</si>
  <si>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</si>
  <si>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</si>
  <si>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</si>
  <si>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</si>
  <si>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</si>
  <si>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</si>
  <si>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</si>
  <si>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</si>
  <si>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</si>
  <si>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</si>
  <si>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</si>
  <si>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</si>
  <si>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</si>
  <si>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</si>
  <si>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</si>
  <si>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</si>
  <si>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</si>
  <si>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</si>
  <si>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</si>
  <si>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</si>
  <si>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</si>
  <si>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</si>
  <si>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</si>
  <si>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</si>
  <si>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</si>
  <si>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</si>
  <si>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</si>
  <si>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</si>
  <si>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</si>
  <si>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</si>
  <si>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</si>
  <si>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</si>
  <si>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</si>
  <si>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</si>
  <si>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</si>
  <si>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</si>
  <si>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</si>
  <si>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</si>
  <si>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</si>
  <si>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</si>
  <si>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</si>
  <si>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</si>
  <si>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</si>
  <si>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</si>
  <si>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</si>
  <si>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</si>
  <si>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</si>
  <si>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</si>
  <si>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</si>
  <si>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</si>
  <si>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</si>
  <si>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</si>
  <si>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</si>
  <si>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</si>
  <si>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</si>
  <si>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</si>
  <si>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</si>
  <si>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</si>
  <si>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</si>
  <si>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</si>
  <si>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</si>
  <si>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</si>
  <si>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</si>
  <si>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</si>
  <si>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</si>
  <si>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</si>
  <si>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</si>
  <si>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</si>
  <si>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</si>
  <si>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</si>
  <si>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</si>
  <si>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</si>
  <si>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</si>
  <si>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</si>
  <si>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</si>
  <si>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</si>
  <si>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</si>
  <si>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</si>
  <si>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</si>
  <si>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</si>
  <si>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</si>
  <si>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</si>
  <si>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</si>
  <si>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</si>
  <si>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</si>
  <si>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</si>
  <si>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</si>
  <si>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</si>
  <si>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</si>
  <si>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</si>
  <si>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</si>
  <si>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</si>
  <si>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</si>
  <si>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</si>
  <si>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</si>
  <si>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</si>
  <si>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</si>
  <si>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</si>
  <si>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</si>
  <si>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</si>
  <si>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</si>
  <si>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</si>
  <si>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</si>
  <si>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</si>
  <si>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</si>
  <si>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</si>
  <si>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</si>
  <si>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</si>
  <si>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</si>
  <si>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</si>
  <si>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</si>
  <si>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</si>
  <si>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</si>
  <si>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</si>
  <si>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</si>
  <si>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</si>
  <si>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</si>
  <si>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</si>
  <si>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</si>
  <si>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</si>
  <si>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</si>
  <si>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</si>
  <si>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</si>
  <si>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</si>
  <si>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</si>
  <si>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</si>
  <si>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</si>
  <si>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</si>
  <si>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</si>
  <si>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</si>
  <si>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</si>
  <si>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</si>
  <si>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</si>
  <si>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</si>
  <si>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</si>
  <si>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</si>
  <si>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</si>
  <si>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</si>
  <si>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</si>
  <si>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</si>
  <si>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</si>
  <si>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</si>
  <si>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</si>
  <si>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</si>
  <si>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</si>
  <si>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</si>
  <si>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</si>
  <si>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</si>
  <si>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</si>
  <si>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</si>
  <si>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</si>
  <si>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</si>
  <si>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</si>
  <si>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</si>
  <si>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</si>
  <si>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</si>
  <si>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</si>
  <si>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</si>
  <si>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</si>
  <si>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</si>
  <si>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</si>
  <si>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</si>
  <si>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</si>
  <si>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</si>
  <si>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</si>
  <si>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</si>
  <si>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</si>
  <si>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</si>
  <si>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</si>
  <si>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</si>
  <si>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</si>
  <si>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</si>
  <si>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</si>
  <si>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</si>
  <si>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</si>
  <si>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</si>
  <si>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</si>
  <si>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</si>
  <si>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</si>
  <si>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</si>
  <si>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</si>
  <si>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</si>
  <si>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</si>
  <si>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</si>
  <si>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</si>
  <si>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</si>
  <si>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</si>
  <si>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</si>
  <si>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</si>
  <si>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</si>
  <si>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</si>
  <si>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</si>
  <si>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</si>
  <si>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</si>
  <si>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</si>
  <si>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</si>
  <si>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</si>
  <si>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</si>
  <si>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</si>
  <si>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</si>
  <si>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</si>
  <si>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</si>
  <si>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</si>
  <si>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</si>
  <si>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</si>
  <si>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</si>
  <si>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</si>
  <si>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</si>
  <si>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</si>
  <si>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</si>
  <si>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</si>
  <si>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</si>
  <si>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</si>
  <si>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</si>
  <si>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</si>
  <si>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</si>
  <si>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</si>
  <si>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</si>
  <si>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</si>
  <si>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</si>
  <si>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</si>
  <si>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</si>
  <si>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</si>
  <si>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</si>
  <si>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</si>
  <si>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</si>
  <si>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</si>
  <si>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</si>
  <si>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</si>
  <si>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</si>
  <si>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</si>
  <si>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</si>
  <si>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</si>
  <si>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</si>
  <si>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</si>
  <si>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</si>
  <si>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</si>
  <si>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</si>
  <si>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</si>
  <si>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</si>
  <si>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</si>
  <si>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</si>
  <si>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</si>
  <si>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</si>
  <si>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</si>
  <si>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</si>
  <si>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</si>
  <si>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</si>
  <si>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</si>
  <si>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</si>
  <si>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</si>
  <si>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</si>
  <si>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</si>
  <si>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</si>
  <si>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</si>
  <si>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</si>
  <si>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</si>
  <si>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</si>
  <si>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71034</t>
  </si>
  <si>
    <t>LEOPOLDSBURG</t>
  </si>
  <si>
    <t>Eandis (januari 2018); Infrax (juni 2018)</t>
  </si>
  <si>
    <t>MOW (september 2017)</t>
  </si>
  <si>
    <t>referentietaak LNE (2017); Jaarverslag De Lijn (2016)</t>
  </si>
  <si>
    <t>VEA (april 2018)</t>
  </si>
  <si>
    <t>VEA (januari 2017)</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</si>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</sst>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112078.8683909026</c:v>
                </c:pt>
                <c:pt idx="1">
                  <c:v>55172.220317338775</c:v>
                </c:pt>
                <c:pt idx="2">
                  <c:v>876.17899999999997</c:v>
                </c:pt>
                <c:pt idx="3">
                  <c:v>502.92305706314164</c:v>
                </c:pt>
                <c:pt idx="4">
                  <c:v>4547.5812381447668</c:v>
                </c:pt>
                <c:pt idx="5">
                  <c:v>66882.817589617407</c:v>
                </c:pt>
                <c:pt idx="6">
                  <c:v>1235.6622976824472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62464"/>
        <c:axId val="156464256"/>
      </c:barChart>
      <c:catAx>
        <c:axId val="156462464"/>
        <c:scaling>
          <c:orientation val="minMax"/>
        </c:scaling>
        <c:axPos val="b"/>
        <c:numFmt formatCode="General" sourceLinked="0"/>
        <c:tickLblPos val="nextTo"/>
        <c:crossAx val="156464256"/>
        <c:crosses val="autoZero"/>
        <c:auto val="1"/>
        <c:lblAlgn val="ctr"/>
        <c:lblOffset val="100"/>
      </c:catAx>
      <c:valAx>
        <c:axId val="156464256"/>
        <c:scaling>
          <c:orientation val="minMax"/>
        </c:scaling>
        <c:axPos val="l"/>
        <c:majorGridlines/>
        <c:numFmt formatCode="#,##0" sourceLinked="1"/>
        <c:tickLblPos val="nextTo"/>
        <c:crossAx val="156462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112078.8683909026</c:v>
                </c:pt>
                <c:pt idx="1">
                  <c:v>55172.220317338775</c:v>
                </c:pt>
                <c:pt idx="2">
                  <c:v>876.17899999999997</c:v>
                </c:pt>
                <c:pt idx="3">
                  <c:v>502.92305706314164</c:v>
                </c:pt>
                <c:pt idx="4">
                  <c:v>4547.5812381447668</c:v>
                </c:pt>
                <c:pt idx="5">
                  <c:v>66882.817589617407</c:v>
                </c:pt>
                <c:pt idx="6">
                  <c:v>1235.6622976824472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22642.423614127551</c:v>
                </c:pt>
                <c:pt idx="1">
                  <c:v>11241.022914215595</c:v>
                </c:pt>
                <c:pt idx="2">
                  <c:v>178.41169950528194</c:v>
                </c:pt>
                <c:pt idx="3">
                  <c:v>125.90901804739421</c:v>
                </c:pt>
                <c:pt idx="4">
                  <c:v>902.05933535664599</c:v>
                </c:pt>
                <c:pt idx="5">
                  <c:v>16718.0061005262</c:v>
                </c:pt>
                <c:pt idx="6">
                  <c:v>312.19077561623664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40544"/>
        <c:axId val="156950528"/>
      </c:barChart>
      <c:catAx>
        <c:axId val="156940544"/>
        <c:scaling>
          <c:orientation val="minMax"/>
        </c:scaling>
        <c:axPos val="b"/>
        <c:numFmt formatCode="General" sourceLinked="0"/>
        <c:tickLblPos val="nextTo"/>
        <c:crossAx val="156950528"/>
        <c:crosses val="autoZero"/>
        <c:auto val="1"/>
        <c:lblAlgn val="ctr"/>
        <c:lblOffset val="100"/>
      </c:catAx>
      <c:valAx>
        <c:axId val="156950528"/>
        <c:scaling>
          <c:orientation val="minMax"/>
        </c:scaling>
        <c:axPos val="l"/>
        <c:majorGridlines/>
        <c:numFmt formatCode="#,##0" sourceLinked="1"/>
        <c:tickLblPos val="nextTo"/>
        <c:crossAx val="15694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22642.423614127551</c:v>
                </c:pt>
                <c:pt idx="1">
                  <c:v>11241.022914215595</c:v>
                </c:pt>
                <c:pt idx="2">
                  <c:v>178.41169950528194</c:v>
                </c:pt>
                <c:pt idx="3">
                  <c:v>125.90901804739421</c:v>
                </c:pt>
                <c:pt idx="4">
                  <c:v>902.05933535664599</c:v>
                </c:pt>
                <c:pt idx="5">
                  <c:v>16718.0061005262</c:v>
                </c:pt>
                <c:pt idx="6">
                  <c:v>312.19077561623664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71034</v>
      </c>
      <c r="B6" s="415"/>
      <c r="C6" s="416"/>
    </row>
    <row r="7" spans="1:7" s="413" customFormat="1" ht="15.75" customHeight="1">
      <c r="A7" s="417" t="str">
        <f>txtMunicipality</f>
        <v>LEOPOLDSBURG</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6524</v>
      </c>
      <c r="C9" s="342">
        <v>6693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387.61</v>
      </c>
    </row>
    <row r="15" spans="1:6">
      <c r="A15" s="348" t="s">
        <v>184</v>
      </c>
      <c r="B15" s="334">
        <v>0</v>
      </c>
    </row>
    <row r="16" spans="1:6">
      <c r="A16" s="348" t="s">
        <v>6</v>
      </c>
      <c r="B16" s="334">
        <v>40</v>
      </c>
    </row>
    <row r="17" spans="1:6">
      <c r="A17" s="348" t="s">
        <v>7</v>
      </c>
      <c r="B17" s="334">
        <v>14</v>
      </c>
    </row>
    <row r="18" spans="1:6">
      <c r="A18" s="348" t="s">
        <v>8</v>
      </c>
      <c r="B18" s="334">
        <v>38</v>
      </c>
    </row>
    <row r="19" spans="1:6">
      <c r="A19" s="348" t="s">
        <v>9</v>
      </c>
      <c r="B19" s="334">
        <v>33</v>
      </c>
    </row>
    <row r="20" spans="1:6">
      <c r="A20" s="348" t="s">
        <v>10</v>
      </c>
      <c r="B20" s="334">
        <v>23</v>
      </c>
    </row>
    <row r="21" spans="1:6">
      <c r="A21" s="348" t="s">
        <v>11</v>
      </c>
      <c r="B21" s="334">
        <v>0</v>
      </c>
    </row>
    <row r="22" spans="1:6">
      <c r="A22" s="348" t="s">
        <v>12</v>
      </c>
      <c r="B22" s="334">
        <v>82</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4</v>
      </c>
    </row>
    <row r="28" spans="1:6" s="356" customFormat="1">
      <c r="A28" s="355" t="s">
        <v>18</v>
      </c>
      <c r="B28" s="355">
        <v>0</v>
      </c>
    </row>
    <row r="29" spans="1:6">
      <c r="A29" s="355" t="s">
        <v>744</v>
      </c>
      <c r="B29" s="355">
        <v>55</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8624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3654</v>
      </c>
      <c r="D39" s="334">
        <v>51320943.75</v>
      </c>
      <c r="E39" s="334">
        <v>6552</v>
      </c>
      <c r="F39" s="334">
        <v>22906595</v>
      </c>
    </row>
    <row r="40" spans="1:6">
      <c r="A40" s="348" t="s">
        <v>30</v>
      </c>
      <c r="B40" s="348" t="s">
        <v>29</v>
      </c>
      <c r="C40" s="334">
        <v>0</v>
      </c>
      <c r="D40" s="334">
        <v>0</v>
      </c>
      <c r="E40" s="334">
        <v>0</v>
      </c>
      <c r="F40" s="334">
        <v>0</v>
      </c>
    </row>
    <row r="41" spans="1:6">
      <c r="A41" s="348" t="s">
        <v>32</v>
      </c>
      <c r="B41" s="348" t="s">
        <v>33</v>
      </c>
      <c r="C41" s="334">
        <v>41</v>
      </c>
      <c r="D41" s="334">
        <v>961053.6</v>
      </c>
      <c r="E41" s="334">
        <v>87</v>
      </c>
      <c r="F41" s="334">
        <v>794010.35000000009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110616</v>
      </c>
      <c r="E44" s="334">
        <v>6</v>
      </c>
      <c r="F44" s="334">
        <v>36299</v>
      </c>
    </row>
    <row r="45" spans="1:6">
      <c r="A45" s="348" t="s">
        <v>32</v>
      </c>
      <c r="B45" s="348" t="s">
        <v>37</v>
      </c>
      <c r="C45" s="334">
        <v>0</v>
      </c>
      <c r="D45" s="334">
        <v>0</v>
      </c>
      <c r="E45" s="334">
        <v>3</v>
      </c>
      <c r="F45" s="334">
        <v>426810</v>
      </c>
    </row>
    <row r="46" spans="1:6">
      <c r="A46" s="348" t="s">
        <v>32</v>
      </c>
      <c r="B46" s="348" t="s">
        <v>38</v>
      </c>
      <c r="C46" s="334">
        <v>0</v>
      </c>
      <c r="D46" s="334">
        <v>0</v>
      </c>
      <c r="E46" s="334">
        <v>0</v>
      </c>
      <c r="F46" s="334">
        <v>0</v>
      </c>
    </row>
    <row r="47" spans="1:6">
      <c r="A47" s="348" t="s">
        <v>32</v>
      </c>
      <c r="B47" s="348" t="s">
        <v>39</v>
      </c>
      <c r="C47" s="334">
        <v>3</v>
      </c>
      <c r="D47" s="334">
        <v>81088</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5</v>
      </c>
      <c r="D50" s="334">
        <v>322835</v>
      </c>
      <c r="E50" s="334">
        <v>15</v>
      </c>
      <c r="F50" s="334">
        <v>501862</v>
      </c>
    </row>
    <row r="51" spans="1:6">
      <c r="A51" s="348" t="s">
        <v>42</v>
      </c>
      <c r="B51" s="348" t="s">
        <v>43</v>
      </c>
      <c r="C51" s="334">
        <v>4</v>
      </c>
      <c r="D51" s="334">
        <v>69787</v>
      </c>
      <c r="E51" s="334">
        <v>15</v>
      </c>
      <c r="F51" s="334">
        <v>82389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876179</v>
      </c>
    </row>
    <row r="55" spans="1:6">
      <c r="A55" s="348" t="s">
        <v>46</v>
      </c>
      <c r="B55" s="348" t="s">
        <v>29</v>
      </c>
      <c r="C55" s="334">
        <v>0</v>
      </c>
      <c r="D55" s="334">
        <v>0</v>
      </c>
      <c r="E55" s="334">
        <v>0</v>
      </c>
      <c r="F55" s="334">
        <v>0</v>
      </c>
    </row>
    <row r="56" spans="1:6">
      <c r="A56" s="348" t="s">
        <v>48</v>
      </c>
      <c r="B56" s="348" t="s">
        <v>29</v>
      </c>
      <c r="C56" s="334">
        <v>4</v>
      </c>
      <c r="D56" s="334">
        <v>143557</v>
      </c>
      <c r="E56" s="334">
        <v>10</v>
      </c>
      <c r="F56" s="334">
        <v>148975</v>
      </c>
    </row>
    <row r="57" spans="1:6">
      <c r="A57" s="348" t="s">
        <v>49</v>
      </c>
      <c r="B57" s="348" t="s">
        <v>50</v>
      </c>
      <c r="C57" s="334">
        <v>33</v>
      </c>
      <c r="D57" s="334">
        <v>1415444.45</v>
      </c>
      <c r="E57" s="334">
        <v>72</v>
      </c>
      <c r="F57" s="334">
        <v>1003100.7000000001</v>
      </c>
    </row>
    <row r="58" spans="1:6">
      <c r="A58" s="348" t="s">
        <v>49</v>
      </c>
      <c r="B58" s="348" t="s">
        <v>51</v>
      </c>
      <c r="C58" s="334">
        <v>14</v>
      </c>
      <c r="D58" s="334">
        <v>1384138.6</v>
      </c>
      <c r="E58" s="334">
        <v>25</v>
      </c>
      <c r="F58" s="334">
        <v>932993.55</v>
      </c>
    </row>
    <row r="59" spans="1:6">
      <c r="A59" s="348" t="s">
        <v>49</v>
      </c>
      <c r="B59" s="348" t="s">
        <v>52</v>
      </c>
      <c r="C59" s="334">
        <v>68</v>
      </c>
      <c r="D59" s="334">
        <v>2178085</v>
      </c>
      <c r="E59" s="334">
        <v>175</v>
      </c>
      <c r="F59" s="334">
        <v>4505347.0999999996</v>
      </c>
    </row>
    <row r="60" spans="1:6">
      <c r="A60" s="348" t="s">
        <v>49</v>
      </c>
      <c r="B60" s="348" t="s">
        <v>53</v>
      </c>
      <c r="C60" s="334">
        <v>42</v>
      </c>
      <c r="D60" s="334">
        <v>1550551.55</v>
      </c>
      <c r="E60" s="334">
        <v>56</v>
      </c>
      <c r="F60" s="334">
        <v>1034246.25</v>
      </c>
    </row>
    <row r="61" spans="1:6">
      <c r="A61" s="348" t="s">
        <v>49</v>
      </c>
      <c r="B61" s="348" t="s">
        <v>54</v>
      </c>
      <c r="C61" s="334">
        <v>81</v>
      </c>
      <c r="D61" s="334">
        <v>32375197.850000005</v>
      </c>
      <c r="E61" s="334">
        <v>220</v>
      </c>
      <c r="F61" s="334">
        <v>8864424.4000000041</v>
      </c>
    </row>
    <row r="62" spans="1:6">
      <c r="A62" s="348" t="s">
        <v>49</v>
      </c>
      <c r="B62" s="348" t="s">
        <v>55</v>
      </c>
      <c r="C62" s="334">
        <v>4</v>
      </c>
      <c r="D62" s="334">
        <v>135508</v>
      </c>
      <c r="E62" s="334">
        <v>13</v>
      </c>
      <c r="F62" s="334">
        <v>297693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59530357</v>
      </c>
      <c r="E73" s="476">
        <v>60593072.908502892</v>
      </c>
    </row>
    <row r="74" spans="1:6">
      <c r="A74" s="348" t="s">
        <v>64</v>
      </c>
      <c r="B74" s="348" t="s">
        <v>657</v>
      </c>
      <c r="C74" s="1213" t="s">
        <v>659</v>
      </c>
      <c r="D74" s="476">
        <v>3813165.8667732333</v>
      </c>
      <c r="E74" s="476">
        <v>3795937.9876092486</v>
      </c>
    </row>
    <row r="75" spans="1:6">
      <c r="A75" s="348" t="s">
        <v>65</v>
      </c>
      <c r="B75" s="348" t="s">
        <v>656</v>
      </c>
      <c r="C75" s="1213" t="s">
        <v>660</v>
      </c>
      <c r="D75" s="476">
        <v>22718099</v>
      </c>
      <c r="E75" s="476">
        <v>23044569.000297558</v>
      </c>
    </row>
    <row r="76" spans="1:6">
      <c r="A76" s="348" t="s">
        <v>65</v>
      </c>
      <c r="B76" s="348" t="s">
        <v>657</v>
      </c>
      <c r="C76" s="1213" t="s">
        <v>661</v>
      </c>
      <c r="D76" s="476">
        <v>215752.86677323331</v>
      </c>
      <c r="E76" s="476">
        <v>223885.46632862522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335132.26645353338</v>
      </c>
      <c r="C83" s="476">
        <v>342689.13901303883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3671.3420125523521</v>
      </c>
    </row>
    <row r="92" spans="1:6">
      <c r="A92" s="341" t="s">
        <v>69</v>
      </c>
      <c r="B92" s="342">
        <v>146.20450217614689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1130</v>
      </c>
    </row>
    <row r="98" spans="1:6">
      <c r="A98" s="348" t="s">
        <v>72</v>
      </c>
      <c r="B98" s="334">
        <v>3</v>
      </c>
    </row>
    <row r="99" spans="1:6">
      <c r="A99" s="348" t="s">
        <v>73</v>
      </c>
      <c r="B99" s="334">
        <v>45</v>
      </c>
    </row>
    <row r="100" spans="1:6">
      <c r="A100" s="348" t="s">
        <v>74</v>
      </c>
      <c r="B100" s="334">
        <v>630</v>
      </c>
    </row>
    <row r="101" spans="1:6">
      <c r="A101" s="348" t="s">
        <v>75</v>
      </c>
      <c r="B101" s="334">
        <v>47</v>
      </c>
    </row>
    <row r="102" spans="1:6">
      <c r="A102" s="348" t="s">
        <v>76</v>
      </c>
      <c r="B102" s="334">
        <v>102</v>
      </c>
    </row>
    <row r="103" spans="1:6">
      <c r="A103" s="348" t="s">
        <v>77</v>
      </c>
      <c r="B103" s="334">
        <v>123</v>
      </c>
    </row>
    <row r="104" spans="1:6">
      <c r="A104" s="348" t="s">
        <v>78</v>
      </c>
      <c r="B104" s="334">
        <v>3335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38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146</v>
      </c>
    </row>
    <row r="130" spans="1:6">
      <c r="A130" s="348" t="s">
        <v>295</v>
      </c>
      <c r="B130" s="334">
        <v>0</v>
      </c>
    </row>
    <row r="131" spans="1:6">
      <c r="A131" s="348" t="s">
        <v>296</v>
      </c>
      <c r="B131" s="334">
        <v>2</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47288.648177670606</v>
      </c>
      <c r="C3" s="43" t="s">
        <v>170</v>
      </c>
      <c r="D3" s="43"/>
      <c r="E3" s="154"/>
      <c r="F3" s="43"/>
      <c r="G3" s="43"/>
      <c r="H3" s="43"/>
      <c r="I3" s="43"/>
      <c r="J3" s="43"/>
      <c r="K3" s="96"/>
    </row>
    <row r="4" spans="1:11">
      <c r="A4" s="383" t="s">
        <v>171</v>
      </c>
      <c r="B4" s="49">
        <f>IF(ISERROR('SEAP template'!B69),0,'SEAP template'!B69)</f>
        <v>5140.5465147284995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314.40705882352944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0.20362471538952878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449.15294117647068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1890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876.17899999999997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876.17899999999997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0.20362471538952878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178.41169950528194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22906.595000000001</v>
      </c>
      <c r="C5" s="17">
        <f>IF(ISERROR('Eigen informatie GS &amp; warmtenet'!B57),0,'Eigen informatie GS &amp; warmtenet'!B57)</f>
        <v>0</v>
      </c>
      <c r="D5" s="30">
        <f>(SUM(HH_hh_gas_kWh,HH_rest_gas_kWh)/1000)*0.902</f>
        <v>46291.4912625</v>
      </c>
      <c r="E5" s="17">
        <f>B46*B57</f>
        <v>2331.3358915949143</v>
      </c>
      <c r="F5" s="17">
        <f>B51*B62</f>
        <v>27529.604014564447</v>
      </c>
      <c r="G5" s="18"/>
      <c r="H5" s="17"/>
      <c r="I5" s="17"/>
      <c r="J5" s="17">
        <f>B50*B61+C50*C61</f>
        <v>0</v>
      </c>
      <c r="K5" s="17"/>
      <c r="L5" s="17"/>
      <c r="M5" s="17"/>
      <c r="N5" s="17">
        <f>B48*B59+C48*C59</f>
        <v>8298.1802096908596</v>
      </c>
      <c r="O5" s="17">
        <f>B69*B70*B71</f>
        <v>287.65333333333336</v>
      </c>
      <c r="P5" s="17">
        <f>B77*B78*B79/1000-B77*B78*B79/1000/B80</f>
        <v>762.66666666666674</v>
      </c>
    </row>
    <row r="6" spans="1:16">
      <c r="A6" s="16" t="s">
        <v>621</v>
      </c>
      <c r="B6" s="843">
        <f>kWh_PV_kleiner_dan_10kW</f>
        <v>3671.3420125523521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26577.937012552353</v>
      </c>
      <c r="C8" s="21">
        <f>C5</f>
        <v>0</v>
      </c>
      <c r="D8" s="21">
        <f>D5</f>
        <v>46291.4912625</v>
      </c>
      <c r="E8" s="21">
        <f>E5</f>
        <v>2331.3358915949143</v>
      </c>
      <c r="F8" s="21">
        <f>F5</f>
        <v>27529.604014564447</v>
      </c>
      <c r="G8" s="21"/>
      <c r="H8" s="21"/>
      <c r="I8" s="21"/>
      <c r="J8" s="21">
        <f>J5</f>
        <v>0</v>
      </c>
      <c r="K8" s="21"/>
      <c r="L8" s="21">
        <f>L5</f>
        <v>0</v>
      </c>
      <c r="M8" s="21">
        <f>M5</f>
        <v>0</v>
      </c>
      <c r="N8" s="21">
        <f>N5</f>
        <v>8298.1802096908596</v>
      </c>
      <c r="O8" s="21">
        <f>O5</f>
        <v>287.65333333333336</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0.20362471538952878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5411.9248598217955</v>
      </c>
      <c r="C12" s="23">
        <f ca="1">C10*C8</f>
        <v>0</v>
      </c>
      <c r="D12" s="23">
        <f>D8*D10</f>
        <v>9350.8812350250009</v>
      </c>
      <c r="E12" s="23">
        <f>E10*E8</f>
        <v>529.21324739204556</v>
      </c>
      <c r="F12" s="23">
        <f>F10*F8</f>
        <v>7350.4042718887076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1130</v>
      </c>
      <c r="C18" s="166" t="s">
        <v>111</v>
      </c>
      <c r="D18" s="228"/>
      <c r="E18" s="15"/>
    </row>
    <row r="19" spans="1:7">
      <c r="A19" s="171" t="s">
        <v>72</v>
      </c>
      <c r="B19" s="37">
        <f>aantalw2001_ander</f>
        <v>3</v>
      </c>
      <c r="C19" s="166" t="s">
        <v>111</v>
      </c>
      <c r="D19" s="229"/>
      <c r="E19" s="15"/>
    </row>
    <row r="20" spans="1:7">
      <c r="A20" s="171" t="s">
        <v>73</v>
      </c>
      <c r="B20" s="37">
        <f>aantalw2001_propaan</f>
        <v>45</v>
      </c>
      <c r="C20" s="167">
        <f>IF(ISERROR(B20/SUM($B$20,$B$21,$B$22)*100),0,B20/SUM($B$20,$B$21,$B$22)*100)</f>
        <v>6.2326869806094187</v>
      </c>
      <c r="D20" s="229"/>
      <c r="E20" s="15"/>
    </row>
    <row r="21" spans="1:7">
      <c r="A21" s="171" t="s">
        <v>74</v>
      </c>
      <c r="B21" s="37">
        <f>aantalw2001_elektriciteit</f>
        <v>630</v>
      </c>
      <c r="C21" s="167">
        <f>IF(ISERROR(B21/SUM($B$20,$B$21,$B$22)*100),0,B21/SUM($B$20,$B$21,$B$22)*100)</f>
        <v>87.257617728531855</v>
      </c>
      <c r="D21" s="229"/>
      <c r="E21" s="15"/>
    </row>
    <row r="22" spans="1:7">
      <c r="A22" s="171" t="s">
        <v>75</v>
      </c>
      <c r="B22" s="37">
        <f>aantalw2001_hout</f>
        <v>47</v>
      </c>
      <c r="C22" s="167">
        <f>IF(ISERROR(B22/SUM($B$20,$B$21,$B$22)*100),0,B22/SUM($B$20,$B$21,$B$22)*100)</f>
        <v>6.5096952908587262</v>
      </c>
      <c r="D22" s="229"/>
      <c r="E22" s="15"/>
    </row>
    <row r="23" spans="1:7">
      <c r="A23" s="171" t="s">
        <v>76</v>
      </c>
      <c r="B23" s="37">
        <f>aantalw2001_niet_gespec</f>
        <v>102</v>
      </c>
      <c r="C23" s="166" t="s">
        <v>111</v>
      </c>
      <c r="D23" s="228"/>
      <c r="E23" s="15"/>
    </row>
    <row r="24" spans="1:7">
      <c r="A24" s="171" t="s">
        <v>77</v>
      </c>
      <c r="B24" s="37">
        <f>aantalw2001_steenkool</f>
        <v>123</v>
      </c>
      <c r="C24" s="166" t="s">
        <v>111</v>
      </c>
      <c r="D24" s="229"/>
      <c r="E24" s="15"/>
    </row>
    <row r="25" spans="1:7">
      <c r="A25" s="171" t="s">
        <v>78</v>
      </c>
      <c r="B25" s="37">
        <f>aantalw2001_stookolie</f>
        <v>3335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6524</v>
      </c>
      <c r="C28" s="36"/>
      <c r="D28" s="228"/>
    </row>
    <row r="29" spans="1:7" s="15" customFormat="1">
      <c r="A29" s="230" t="s">
        <v>795</v>
      </c>
      <c r="B29" s="37">
        <f>SUM(HH_hh_gas_aantal,HH_rest_gas_aantal)</f>
        <v>3654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3654</v>
      </c>
      <c r="C32" s="167">
        <f>IF(ISERROR(B32/SUM($B$32,$B$34,$B$35,$B$36,$B$38,$B$39)*100),0,B32/SUM($B$32,$B$34,$B$35,$B$36,$B$38,$B$39)*100)</f>
        <v>56.354102405922269</v>
      </c>
      <c r="D32" s="233"/>
      <c r="G32" s="15"/>
    </row>
    <row r="33" spans="1:7">
      <c r="A33" s="171" t="s">
        <v>72</v>
      </c>
      <c r="B33" s="34" t="s">
        <v>111</v>
      </c>
      <c r="C33" s="167"/>
      <c r="D33" s="233"/>
      <c r="G33" s="15"/>
    </row>
    <row r="34" spans="1:7">
      <c r="A34" s="171" t="s">
        <v>73</v>
      </c>
      <c r="B34" s="33">
        <f>IF((($B$28-$B$32-$B$39-$B$77-$B$38)*C20/100)&lt;0,0,($B$28-$B$32-$B$39-$B$77-$B$38)*C20/100)</f>
        <v>110.10664819944598</v>
      </c>
      <c r="C34" s="167">
        <f>IF(ISERROR(B34/SUM($B$32,$B$34,$B$35,$B$36,$B$38,$B$39)*100),0,B34/SUM($B$32,$B$34,$B$35,$B$36,$B$38,$B$39)*100)</f>
        <v>1.6981284423110115</v>
      </c>
      <c r="D34" s="233"/>
      <c r="G34" s="15"/>
    </row>
    <row r="35" spans="1:7">
      <c r="A35" s="171" t="s">
        <v>74</v>
      </c>
      <c r="B35" s="33">
        <f>IF((($B$28-$B$32-$B$39-$B$77-$B$38)*C21/100)&lt;0,0,($B$28-$B$32-$B$39-$B$77-$B$38)*C21/100)</f>
        <v>1541.4930747922438</v>
      </c>
      <c r="C35" s="167">
        <f>IF(ISERROR(B35/SUM($B$32,$B$34,$B$35,$B$36,$B$38,$B$39)*100),0,B35/SUM($B$32,$B$34,$B$35,$B$36,$B$38,$B$39)*100)</f>
        <v>23.77379819235416</v>
      </c>
      <c r="D35" s="233"/>
      <c r="G35" s="15"/>
    </row>
    <row r="36" spans="1:7">
      <c r="A36" s="171" t="s">
        <v>75</v>
      </c>
      <c r="B36" s="33">
        <f>IF((($B$28-$B$32-$B$39-$B$77-$B$38)*C22/100)&lt;0,0,($B$28-$B$32-$B$39-$B$77-$B$38)*C22/100)</f>
        <v>115.00027700831026</v>
      </c>
      <c r="C36" s="167">
        <f>IF(ISERROR(B36/SUM($B$32,$B$34,$B$35,$B$36,$B$38,$B$39)*100),0,B36/SUM($B$32,$B$34,$B$35,$B$36,$B$38,$B$39)*100)</f>
        <v>1.7736008175248346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1063.4000000000001</v>
      </c>
      <c r="C39" s="167">
        <f>IF(ISERROR(B39/SUM($B$32,$B$34,$B$35,$B$36,$B$38,$B$39)*100),0,B39/SUM($B$32,$B$34,$B$35,$B$36,$B$38,$B$39)*100)</f>
        <v>16.400370141887723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3654</v>
      </c>
      <c r="C44" s="34" t="s">
        <v>111</v>
      </c>
      <c r="D44" s="174"/>
    </row>
    <row r="45" spans="1:7">
      <c r="A45" s="171" t="s">
        <v>72</v>
      </c>
      <c r="B45" s="33" t="str">
        <f t="shared" si="0"/>
        <v>-</v>
      </c>
      <c r="C45" s="34" t="s">
        <v>111</v>
      </c>
      <c r="D45" s="174"/>
    </row>
    <row r="46" spans="1:7">
      <c r="A46" s="171" t="s">
        <v>73</v>
      </c>
      <c r="B46" s="33">
        <f t="shared" si="0"/>
        <v>110.10664819944598</v>
      </c>
      <c r="C46" s="34" t="s">
        <v>111</v>
      </c>
      <c r="D46" s="174"/>
    </row>
    <row r="47" spans="1:7">
      <c r="A47" s="171" t="s">
        <v>74</v>
      </c>
      <c r="B47" s="33">
        <f t="shared" si="0"/>
        <v>1541.4930747922438</v>
      </c>
      <c r="C47" s="34" t="s">
        <v>111</v>
      </c>
      <c r="D47" s="174"/>
    </row>
    <row r="48" spans="1:7">
      <c r="A48" s="171" t="s">
        <v>75</v>
      </c>
      <c r="B48" s="33">
        <f t="shared" si="0"/>
        <v>115.00027700831026</v>
      </c>
      <c r="C48" s="33">
        <f>B48*10</f>
        <v>1150.0027700831026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1063.4000000000001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16637.805000000004</v>
      </c>
      <c r="C5" s="17">
        <f>IF(ISERROR('Eigen informatie GS &amp; warmtenet'!B58),0,'Eigen informatie GS &amp; warmtenet'!B58)</f>
        <v>0</v>
      </c>
      <c r="D5" s="30">
        <f>SUM(D6:D12)</f>
        <v>35213.110755900008</v>
      </c>
      <c r="E5" s="17">
        <f>SUM(E6:E12)</f>
        <v>184.01995972117001</v>
      </c>
      <c r="F5" s="17">
        <f>SUM(F6:F12)</f>
        <v>2784.0357880928836</v>
      </c>
      <c r="G5" s="18"/>
      <c r="H5" s="17"/>
      <c r="I5" s="17"/>
      <c r="J5" s="17">
        <f>SUM(J6:J12)</f>
        <v>2.17733841508275E-2</v>
      </c>
      <c r="K5" s="17"/>
      <c r="L5" s="17"/>
      <c r="M5" s="17"/>
      <c r="N5" s="17">
        <f>SUM(N6:N12)</f>
        <v>882.09370690722392</v>
      </c>
      <c r="O5" s="17">
        <f>B38*B39*B40</f>
        <v>0</v>
      </c>
      <c r="P5" s="17">
        <f>B46*B47*B48/1000-B46*B47*B48/1000/B49</f>
        <v>38.133333333333333</v>
      </c>
      <c r="R5" s="32"/>
    </row>
    <row r="6" spans="1:18">
      <c r="A6" s="32" t="s">
        <v>54</v>
      </c>
      <c r="B6" s="37">
        <f>B26</f>
        <v>8864.4244000000035</v>
      </c>
      <c r="C6" s="33"/>
      <c r="D6" s="37">
        <f>IF(ISERROR(TER_kantoor_gas_kWh/1000),0,TER_kantoor_gas_kWh/1000)*0.902</f>
        <v>29202.428460700005</v>
      </c>
      <c r="E6" s="33">
        <f>$C$26*'E Balans VL '!I12/100/3.6*1000000</f>
        <v>5.5559263877833255E-2</v>
      </c>
      <c r="F6" s="33">
        <f>$C$26*('E Balans VL '!L12+'E Balans VL '!N12)/100/3.6*1000000</f>
        <v>1332.0752916785993</v>
      </c>
      <c r="G6" s="34"/>
      <c r="H6" s="33"/>
      <c r="I6" s="33"/>
      <c r="J6" s="33">
        <f>$C$26*('E Balans VL '!D12+'E Balans VL '!E12)/100/3.6*1000000</f>
        <v>0</v>
      </c>
      <c r="K6" s="33"/>
      <c r="L6" s="33"/>
      <c r="M6" s="33"/>
      <c r="N6" s="33">
        <f>$C$26*'E Balans VL '!Y12/100/3.6*1000000</f>
        <v>8.4775076434464776</v>
      </c>
      <c r="O6" s="33"/>
      <c r="P6" s="33"/>
      <c r="R6" s="32"/>
    </row>
    <row r="7" spans="1:18">
      <c r="A7" s="32" t="s">
        <v>53</v>
      </c>
      <c r="B7" s="37">
        <f t="shared" ref="B7:B12" si="0">B27</f>
        <v>1034.2462499999999</v>
      </c>
      <c r="C7" s="33"/>
      <c r="D7" s="37">
        <f>IF(ISERROR(TER_horeca_gas_kWh/1000),0,TER_horeca_gas_kWh/1000)*0.902</f>
        <v>1398.5974981000002</v>
      </c>
      <c r="E7" s="33">
        <f>$C$27*'E Balans VL '!I9/100/3.6*1000000</f>
        <v>14.810234027461251</v>
      </c>
      <c r="F7" s="33">
        <f>$C$27*('E Balans VL '!L9+'E Balans VL '!N9)/100/3.6*1000000</f>
        <v>130.96968600547135</v>
      </c>
      <c r="G7" s="34"/>
      <c r="H7" s="33"/>
      <c r="I7" s="33"/>
      <c r="J7" s="33">
        <f>$C$27*('E Balans VL '!D9+'E Balans VL '!E9)/100/3.6*1000000</f>
        <v>0</v>
      </c>
      <c r="K7" s="33"/>
      <c r="L7" s="33"/>
      <c r="M7" s="33"/>
      <c r="N7" s="33">
        <f>$C$27*'E Balans VL '!Y9/100/3.6*1000000</f>
        <v>0.29732299370260423</v>
      </c>
      <c r="O7" s="33"/>
      <c r="P7" s="33"/>
      <c r="R7" s="32"/>
    </row>
    <row r="8" spans="1:18">
      <c r="A8" s="6" t="s">
        <v>52</v>
      </c>
      <c r="B8" s="37">
        <f t="shared" si="0"/>
        <v>4505.3471</v>
      </c>
      <c r="C8" s="33"/>
      <c r="D8" s="37">
        <f>IF(ISERROR(TER_handel_gas_kWh/1000),0,TER_handel_gas_kWh/1000)*0.902</f>
        <v>1964.6326700000002</v>
      </c>
      <c r="E8" s="33">
        <f>$C$28*'E Balans VL '!I13/100/3.6*1000000</f>
        <v>163.40838374248622</v>
      </c>
      <c r="F8" s="33">
        <f>$C$28*('E Balans VL '!L13+'E Balans VL '!N13)/100/3.6*1000000</f>
        <v>867.77547099978722</v>
      </c>
      <c r="G8" s="34"/>
      <c r="H8" s="33"/>
      <c r="I8" s="33"/>
      <c r="J8" s="33">
        <f>$C$28*('E Balans VL '!D13+'E Balans VL '!E13)/100/3.6*1000000</f>
        <v>0</v>
      </c>
      <c r="K8" s="33"/>
      <c r="L8" s="33"/>
      <c r="M8" s="33"/>
      <c r="N8" s="33">
        <f>$C$28*'E Balans VL '!Y13/100/3.6*1000000</f>
        <v>6.2409423676352116</v>
      </c>
      <c r="O8" s="33"/>
      <c r="P8" s="33"/>
      <c r="R8" s="32"/>
    </row>
    <row r="9" spans="1:18">
      <c r="A9" s="32" t="s">
        <v>51</v>
      </c>
      <c r="B9" s="37">
        <f t="shared" si="0"/>
        <v>932.99355000000003</v>
      </c>
      <c r="C9" s="33"/>
      <c r="D9" s="37">
        <f>IF(ISERROR(TER_gezond_gas_kWh/1000),0,TER_gezond_gas_kWh/1000)*0.902</f>
        <v>1248.4930171999999</v>
      </c>
      <c r="E9" s="33">
        <f>$C$29*'E Balans VL '!I10/100/3.6*1000000</f>
        <v>5.8414607877125976E-2</v>
      </c>
      <c r="F9" s="33">
        <f>$C$29*('E Balans VL '!L10+'E Balans VL '!N10)/100/3.6*1000000</f>
        <v>138.59903254732632</v>
      </c>
      <c r="G9" s="34"/>
      <c r="H9" s="33"/>
      <c r="I9" s="33"/>
      <c r="J9" s="33">
        <f>$C$29*('E Balans VL '!D10+'E Balans VL '!E10)/100/3.6*1000000</f>
        <v>0</v>
      </c>
      <c r="K9" s="33"/>
      <c r="L9" s="33"/>
      <c r="M9" s="33"/>
      <c r="N9" s="33">
        <f>$C$29*'E Balans VL '!Y10/100/3.6*1000000</f>
        <v>14.431634257582125</v>
      </c>
      <c r="O9" s="33"/>
      <c r="P9" s="33"/>
      <c r="R9" s="32"/>
    </row>
    <row r="10" spans="1:18">
      <c r="A10" s="32" t="s">
        <v>50</v>
      </c>
      <c r="B10" s="37">
        <f t="shared" si="0"/>
        <v>1003.1007000000001</v>
      </c>
      <c r="C10" s="33"/>
      <c r="D10" s="37">
        <f>IF(ISERROR(TER_ander_gas_kWh/1000),0,TER_ander_gas_kWh/1000)*0.902</f>
        <v>1276.7308939</v>
      </c>
      <c r="E10" s="33">
        <f>$C$30*'E Balans VL '!I14/100/3.6*1000000</f>
        <v>1.1956601896376828</v>
      </c>
      <c r="F10" s="33">
        <f>$C$30*('E Balans VL '!L14+'E Balans VL '!N14)/100/3.6*1000000</f>
        <v>262.45573747454125</v>
      </c>
      <c r="G10" s="34"/>
      <c r="H10" s="33"/>
      <c r="I10" s="33"/>
      <c r="J10" s="33">
        <f>$C$30*('E Balans VL '!D14+'E Balans VL '!E14)/100/3.6*1000000</f>
        <v>2.17733841508275E-2</v>
      </c>
      <c r="K10" s="33"/>
      <c r="L10" s="33"/>
      <c r="M10" s="33"/>
      <c r="N10" s="33">
        <f>$C$30*'E Balans VL '!Y14/100/3.6*1000000</f>
        <v>851.80856891137387</v>
      </c>
      <c r="O10" s="33"/>
      <c r="P10" s="33"/>
      <c r="R10" s="32"/>
    </row>
    <row r="11" spans="1:18">
      <c r="A11" s="32" t="s">
        <v>55</v>
      </c>
      <c r="B11" s="37">
        <f t="shared" si="0"/>
        <v>297.69299999999998</v>
      </c>
      <c r="C11" s="33"/>
      <c r="D11" s="37">
        <f>IF(ISERROR(TER_onderwijs_gas_kWh/1000),0,TER_onderwijs_gas_kWh/1000)*0.902</f>
        <v>122.22821600000002</v>
      </c>
      <c r="E11" s="33">
        <f>$C$31*'E Balans VL '!I11/100/3.6*1000000</f>
        <v>4.4917078898298781</v>
      </c>
      <c r="F11" s="33">
        <f>$C$31*('E Balans VL '!L11+'E Balans VL '!N11)/100/3.6*1000000</f>
        <v>52.160569387158084</v>
      </c>
      <c r="G11" s="34"/>
      <c r="H11" s="33"/>
      <c r="I11" s="33"/>
      <c r="J11" s="33">
        <f>$C$31*('E Balans VL '!D11+'E Balans VL '!E11)/100/3.6*1000000</f>
        <v>0</v>
      </c>
      <c r="K11" s="33"/>
      <c r="L11" s="33"/>
      <c r="M11" s="33"/>
      <c r="N11" s="33">
        <f>$C$31*'E Balans VL '!Y11/100/3.6*1000000</f>
        <v>0.8377307334837093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1323</v>
      </c>
      <c r="C13" s="247">
        <f ca="1">'lokale energieproductie'!O90+'lokale energieproductie'!O59</f>
        <v>1890</v>
      </c>
      <c r="D13" s="310">
        <f ca="1">('lokale energieproductie'!P59+'lokale energieproductie'!P90)*(-1)</f>
        <v>-3780.0000000000005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17960.805000000004</v>
      </c>
      <c r="C16" s="21">
        <f t="shared" ca="1" si="1"/>
        <v>1890</v>
      </c>
      <c r="D16" s="21">
        <f t="shared" ca="1" si="1"/>
        <v>31433.110755900008</v>
      </c>
      <c r="E16" s="21">
        <f t="shared" si="1"/>
        <v>184.01995972117001</v>
      </c>
      <c r="F16" s="21">
        <f t="shared" ca="1" si="1"/>
        <v>2784.0357880928836</v>
      </c>
      <c r="G16" s="21">
        <f t="shared" si="1"/>
        <v>0</v>
      </c>
      <c r="H16" s="21">
        <f t="shared" si="1"/>
        <v>0</v>
      </c>
      <c r="I16" s="21">
        <f t="shared" si="1"/>
        <v>0</v>
      </c>
      <c r="J16" s="21">
        <f t="shared" si="1"/>
        <v>2.17733841508275E-2</v>
      </c>
      <c r="K16" s="21">
        <f t="shared" si="1"/>
        <v>0</v>
      </c>
      <c r="L16" s="21">
        <f t="shared" ca="1" si="1"/>
        <v>0</v>
      </c>
      <c r="M16" s="21">
        <f t="shared" si="1"/>
        <v>0</v>
      </c>
      <c r="N16" s="21">
        <f t="shared" ca="1" si="1"/>
        <v>882.09370690722392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0.20362471538952878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3657.2638062918263</v>
      </c>
      <c r="C20" s="23">
        <f t="shared" ref="C20:P20" ca="1" si="2">C16*C18</f>
        <v>449.15294117647068</v>
      </c>
      <c r="D20" s="23">
        <f t="shared" ca="1" si="2"/>
        <v>6349.4883726918024</v>
      </c>
      <c r="E20" s="23">
        <f t="shared" si="2"/>
        <v>41.772530856705593</v>
      </c>
      <c r="F20" s="23">
        <f t="shared" ca="1" si="2"/>
        <v>743.33755542079996</v>
      </c>
      <c r="G20" s="23">
        <f t="shared" si="2"/>
        <v>0</v>
      </c>
      <c r="H20" s="23">
        <f t="shared" si="2"/>
        <v>0</v>
      </c>
      <c r="I20" s="23">
        <f t="shared" si="2"/>
        <v>0</v>
      </c>
      <c r="J20" s="23">
        <f t="shared" si="2"/>
        <v>7.7077779893929346E-3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8864.4244000000035</v>
      </c>
      <c r="C26" s="39">
        <f>IF(ISERROR(B26*3.6/1000000/'E Balans VL '!Z12*100),0,B26*3.6/1000000/'E Balans VL '!Z12*100)</f>
        <v>0.18737988943347605</v>
      </c>
      <c r="D26" s="237" t="s">
        <v>754</v>
      </c>
      <c r="F26" s="6"/>
    </row>
    <row r="27" spans="1:18">
      <c r="A27" s="231" t="s">
        <v>53</v>
      </c>
      <c r="B27" s="33">
        <f>IF(ISERROR(TER_horeca_ele_kWh/1000),0,TER_horeca_ele_kWh/1000)</f>
        <v>1034.2462499999999</v>
      </c>
      <c r="C27" s="39">
        <f>IF(ISERROR(B27*3.6/1000000/'E Balans VL '!Z9*100),0,B27*3.6/1000000/'E Balans VL '!Z9*100)</f>
        <v>8.1529246404243E-2</v>
      </c>
      <c r="D27" s="237" t="s">
        <v>754</v>
      </c>
      <c r="F27" s="6"/>
    </row>
    <row r="28" spans="1:18">
      <c r="A28" s="171" t="s">
        <v>52</v>
      </c>
      <c r="B28" s="33">
        <f>IF(ISERROR(TER_handel_ele_kWh/1000),0,TER_handel_ele_kWh/1000)</f>
        <v>4505.3471</v>
      </c>
      <c r="C28" s="39">
        <f>IF(ISERROR(B28*3.6/1000000/'E Balans VL '!Z13*100),0,B28*3.6/1000000/'E Balans VL '!Z13*100)</f>
        <v>0.13076337648411321</v>
      </c>
      <c r="D28" s="237" t="s">
        <v>754</v>
      </c>
      <c r="F28" s="6"/>
    </row>
    <row r="29" spans="1:18">
      <c r="A29" s="231" t="s">
        <v>51</v>
      </c>
      <c r="B29" s="33">
        <f>IF(ISERROR(TER_gezond_ele_kWh/1000),0,TER_gezond_ele_kWh/1000)</f>
        <v>932.99355000000003</v>
      </c>
      <c r="C29" s="39">
        <f>IF(ISERROR(B29*3.6/1000000/'E Balans VL '!Z10*100),0,B29*3.6/1000000/'E Balans VL '!Z10*100)</f>
        <v>9.825954097348398E-2</v>
      </c>
      <c r="D29" s="237" t="s">
        <v>754</v>
      </c>
      <c r="F29" s="6"/>
    </row>
    <row r="30" spans="1:18">
      <c r="A30" s="231" t="s">
        <v>50</v>
      </c>
      <c r="B30" s="33">
        <f>IF(ISERROR(TER_ander_ele_kWh/1000),0,TER_ander_ele_kWh/1000)</f>
        <v>1003.1007000000001</v>
      </c>
      <c r="C30" s="39">
        <f>IF(ISERROR(B30*3.6/1000000/'E Balans VL '!Z14*100),0,B30*3.6/1000000/'E Balans VL '!Z14*100)</f>
        <v>7.3988925504388264E-2</v>
      </c>
      <c r="D30" s="237" t="s">
        <v>754</v>
      </c>
      <c r="F30" s="6"/>
    </row>
    <row r="31" spans="1:18">
      <c r="A31" s="231" t="s">
        <v>55</v>
      </c>
      <c r="B31" s="33">
        <f>IF(ISERROR(TER_onderwijs_ele_kWh/1000),0,TER_onderwijs_ele_kWh/1000)</f>
        <v>297.69299999999998</v>
      </c>
      <c r="C31" s="39">
        <f>IF(ISERROR(B31*3.6/1000000/'E Balans VL '!Z11*100),0,B31*3.6/1000000/'E Balans VL '!Z11*100)</f>
        <v>7.3931116661355725E-2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1758.98135</v>
      </c>
      <c r="C5" s="17">
        <f>IF(ISERROR('Eigen informatie GS &amp; warmtenet'!B59),0,'Eigen informatie GS &amp; warmtenet'!B59)</f>
        <v>0</v>
      </c>
      <c r="D5" s="30">
        <f>SUM(D6:D15)</f>
        <v>1330.9845252</v>
      </c>
      <c r="E5" s="17">
        <f>SUM(E6:E15)</f>
        <v>245.87157839263318</v>
      </c>
      <c r="F5" s="17">
        <f>SUM(F6:F15)</f>
        <v>820.10205462750423</v>
      </c>
      <c r="G5" s="18"/>
      <c r="H5" s="17"/>
      <c r="I5" s="17"/>
      <c r="J5" s="17">
        <f>SUM(J6:J15)</f>
        <v>0.7013774472750044</v>
      </c>
      <c r="K5" s="17"/>
      <c r="L5" s="17"/>
      <c r="M5" s="17"/>
      <c r="N5" s="17">
        <f>SUM(N6:N15)</f>
        <v>390.94035247735405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36.298999999999999</v>
      </c>
      <c r="C8" s="33"/>
      <c r="D8" s="37">
        <f>IF( ISERROR(IND_metaal_Gas_kWH/1000),0,IND_metaal_Gas_kWH/1000)*0.902</f>
        <v>99.775632000000002</v>
      </c>
      <c r="E8" s="33">
        <f>C30*'E Balans VL '!I18/100/3.6*1000000</f>
        <v>0.3337342470923983</v>
      </c>
      <c r="F8" s="33">
        <f>C30*'E Balans VL '!L18/100/3.6*1000000+C30*'E Balans VL '!N18/100/3.6*1000000</f>
        <v>3.4036376839584657</v>
      </c>
      <c r="G8" s="34"/>
      <c r="H8" s="33"/>
      <c r="I8" s="33"/>
      <c r="J8" s="40">
        <f>C30*'E Balans VL '!D18/100/3.6*1000000+C30*'E Balans VL '!E18/100/3.6*1000000</f>
        <v>0</v>
      </c>
      <c r="K8" s="33"/>
      <c r="L8" s="33"/>
      <c r="M8" s="33"/>
      <c r="N8" s="33">
        <f>C30*'E Balans VL '!Y18/100/3.6*1000000</f>
        <v>0.5178652216235996</v>
      </c>
      <c r="O8" s="33"/>
      <c r="P8" s="33"/>
      <c r="R8" s="32"/>
    </row>
    <row r="9" spans="1:18">
      <c r="A9" s="6" t="s">
        <v>33</v>
      </c>
      <c r="B9" s="37">
        <f t="shared" si="0"/>
        <v>794.01035000000013</v>
      </c>
      <c r="C9" s="33"/>
      <c r="D9" s="37">
        <f>IF( ISERROR(IND_andere_gas_kWh/1000),0,IND_andere_gas_kWh/1000)*0.902</f>
        <v>866.87034719999997</v>
      </c>
      <c r="E9" s="33">
        <f>C31*'E Balans VL '!I19/100/3.6*1000000</f>
        <v>232.10468286330607</v>
      </c>
      <c r="F9" s="33">
        <f>C31*'E Balans VL '!L19/100/3.6*1000000+C31*'E Balans VL '!N19/100/3.6*1000000</f>
        <v>638.04741728605359</v>
      </c>
      <c r="G9" s="34"/>
      <c r="H9" s="33"/>
      <c r="I9" s="33"/>
      <c r="J9" s="40">
        <f>C31*'E Balans VL '!D19/100/3.6*1000000+C31*'E Balans VL '!E19/100/3.6*1000000</f>
        <v>0</v>
      </c>
      <c r="K9" s="33"/>
      <c r="L9" s="33"/>
      <c r="M9" s="33"/>
      <c r="N9" s="33">
        <f>C31*'E Balans VL '!Y19/100/3.6*1000000</f>
        <v>262.35333386744912</v>
      </c>
      <c r="O9" s="33"/>
      <c r="P9" s="33"/>
      <c r="R9" s="32"/>
    </row>
    <row r="10" spans="1:18">
      <c r="A10" s="6" t="s">
        <v>41</v>
      </c>
      <c r="B10" s="37">
        <f t="shared" si="0"/>
        <v>501.86200000000002</v>
      </c>
      <c r="C10" s="33"/>
      <c r="D10" s="37">
        <f>IF( ISERROR(IND_voed_gas_kWh/1000),0,IND_voed_gas_kWh/1000)*0.902</f>
        <v>291.19716999999997</v>
      </c>
      <c r="E10" s="33">
        <f>C32*'E Balans VL '!I20/100/3.6*1000000</f>
        <v>1.0616968424624724</v>
      </c>
      <c r="F10" s="33">
        <f>C32*'E Balans VL '!L20/100/3.6*1000000+C32*'E Balans VL '!N20/100/3.6*1000000</f>
        <v>31.90889859700015</v>
      </c>
      <c r="G10" s="34"/>
      <c r="H10" s="33"/>
      <c r="I10" s="33"/>
      <c r="J10" s="40">
        <f>C32*'E Balans VL '!D20/100/3.6*1000000+C32*'E Balans VL '!E20/100/3.6*1000000</f>
        <v>0</v>
      </c>
      <c r="K10" s="33"/>
      <c r="L10" s="33"/>
      <c r="M10" s="33"/>
      <c r="N10" s="33">
        <f>C32*'E Balans VL '!Y20/100/3.6*1000000</f>
        <v>34.633430495228154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426.81</v>
      </c>
      <c r="C12" s="33"/>
      <c r="D12" s="37">
        <f>IF( ISERROR(IND_min_gas_kWh/1000),0,IND_min_gas_kWh/1000)*0.902</f>
        <v>0</v>
      </c>
      <c r="E12" s="33">
        <f>C34*'E Balans VL '!I22/100/3.6*1000000</f>
        <v>12.371464439772236</v>
      </c>
      <c r="F12" s="33">
        <f>C34*'E Balans VL '!L22/100/3.6*1000000+C34*'E Balans VL '!N22/100/3.6*1000000</f>
        <v>146.74210106049202</v>
      </c>
      <c r="G12" s="34"/>
      <c r="H12" s="33"/>
      <c r="I12" s="33"/>
      <c r="J12" s="40">
        <f>C34*'E Balans VL '!D22/100/3.6*1000000+C34*'E Balans VL '!E22/100/3.6*1000000</f>
        <v>0.7013774472750044</v>
      </c>
      <c r="K12" s="33"/>
      <c r="L12" s="33"/>
      <c r="M12" s="33"/>
      <c r="N12" s="33">
        <f>C34*'E Balans VL '!Y22/100/3.6*1000000</f>
        <v>93.435722893053168</v>
      </c>
      <c r="O12" s="33"/>
      <c r="P12" s="33"/>
      <c r="R12" s="32"/>
    </row>
    <row r="13" spans="1:18">
      <c r="A13" s="6" t="s">
        <v>39</v>
      </c>
      <c r="B13" s="37">
        <f t="shared" si="0"/>
        <v>0</v>
      </c>
      <c r="C13" s="33"/>
      <c r="D13" s="37">
        <f>IF( ISERROR(IND_papier_gas_kWh/1000),0,IND_papier_gas_kWh/1000)*0.902</f>
        <v>73.141375999999994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1758.98135</v>
      </c>
      <c r="C18" s="21">
        <f>C5+C16</f>
        <v>0</v>
      </c>
      <c r="D18" s="21">
        <f>MAX((D5+D16),0)</f>
        <v>1330.9845252</v>
      </c>
      <c r="E18" s="21">
        <f>MAX((E5+E16),0)</f>
        <v>245.87157839263318</v>
      </c>
      <c r="F18" s="21">
        <f>MAX((F5+F16),0)</f>
        <v>820.10205462750423</v>
      </c>
      <c r="G18" s="21"/>
      <c r="H18" s="21"/>
      <c r="I18" s="21"/>
      <c r="J18" s="21">
        <f>MAX((J5+J16),0)</f>
        <v>0.7013774472750044</v>
      </c>
      <c r="K18" s="21"/>
      <c r="L18" s="21">
        <f>MAX((L5+L16),0)</f>
        <v>0</v>
      </c>
      <c r="M18" s="21"/>
      <c r="N18" s="21">
        <f>MAX((N5+N16),0)</f>
        <v>390.94035247735405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0.20362471538952878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358.17207676923914</v>
      </c>
      <c r="C22" s="23">
        <f ca="1">C18*C20</f>
        <v>0</v>
      </c>
      <c r="D22" s="23">
        <f>D18*D20</f>
        <v>268.85887409040004</v>
      </c>
      <c r="E22" s="23">
        <f>E18*E20</f>
        <v>55.812848295127736</v>
      </c>
      <c r="F22" s="23">
        <f>F18*F20</f>
        <v>218.96724858554364</v>
      </c>
      <c r="G22" s="23"/>
      <c r="H22" s="23"/>
      <c r="I22" s="23"/>
      <c r="J22" s="23">
        <f>J18*J20</f>
        <v>0.24828761633535154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36.298999999999999</v>
      </c>
      <c r="C30" s="39">
        <f>IF(ISERROR(B30*3.6/1000000/'E Balans VL '!Z18*100),0,B30*3.6/1000000/'E Balans VL '!Z18*100)</f>
        <v>2.0571574067236682E-3</v>
      </c>
      <c r="D30" s="237" t="s">
        <v>754</v>
      </c>
    </row>
    <row r="31" spans="1:18">
      <c r="A31" s="6" t="s">
        <v>33</v>
      </c>
      <c r="B31" s="37">
        <f>IF( ISERROR(IND_ander_ele_kWh/1000),0,IND_ander_ele_kWh/1000)</f>
        <v>794.01035000000013</v>
      </c>
      <c r="C31" s="39">
        <f>IF(ISERROR(B31*3.6/1000000/'E Balans VL '!Z19*100),0,B31*3.6/1000000/'E Balans VL '!Z19*100)</f>
        <v>3.601300327444603E-2</v>
      </c>
      <c r="D31" s="237" t="s">
        <v>754</v>
      </c>
    </row>
    <row r="32" spans="1:18">
      <c r="A32" s="171" t="s">
        <v>41</v>
      </c>
      <c r="B32" s="37">
        <f>IF( ISERROR(IND_voed_ele_kWh/1000),0,IND_voed_ele_kWh/1000)</f>
        <v>501.86200000000002</v>
      </c>
      <c r="C32" s="39">
        <f>IF(ISERROR(B32*3.6/1000000/'E Balans VL '!Z20*100),0,B32*3.6/1000000/'E Balans VL '!Z20*100)</f>
        <v>1.5524869921113899E-2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426.81</v>
      </c>
      <c r="C34" s="39">
        <f>IF(ISERROR(B34*3.6/1000000/'E Balans VL '!Z22*100),0,B34*3.6/1000000/'E Balans VL '!Z22*100)</f>
        <v>7.6769802681362923E-2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82.388999999999996</v>
      </c>
      <c r="C5" s="17">
        <f>'Eigen informatie GS &amp; warmtenet'!B60</f>
        <v>0</v>
      </c>
      <c r="D5" s="30">
        <f>IF(ISERROR(SUM(LB_lb_gas_kWh,LB_rest_gas_kWh,onbekend_gas_kWh)/1000),0,SUM(LB_lb_gas_kWh,LB_rest_gas_kWh,onbekend_gas_kWh)/1000)*0.902</f>
        <v>62.947874000000006</v>
      </c>
      <c r="E5" s="17">
        <f>B17*'E Balans VL '!I25/3.6*1000000/100</f>
        <v>2.4216643550512491</v>
      </c>
      <c r="F5" s="17">
        <f>B17*('E Balans VL '!L25/3.6*1000000+'E Balans VL '!N25/3.6*1000000)/100</f>
        <v>343.22812193211865</v>
      </c>
      <c r="G5" s="18"/>
      <c r="H5" s="17"/>
      <c r="I5" s="17"/>
      <c r="J5" s="17">
        <f>('E Balans VL '!D25+'E Balans VL '!E25)/3.6*1000000*landbouw!B17/100</f>
        <v>11.936396775971748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82.388999999999996</v>
      </c>
      <c r="C8" s="21">
        <f>C5+C6</f>
        <v>0</v>
      </c>
      <c r="D8" s="21">
        <f>MAX((D5+D6),0)</f>
        <v>62.947874000000006</v>
      </c>
      <c r="E8" s="21">
        <f>MAX((E5+E6),0)</f>
        <v>2.4216643550512491</v>
      </c>
      <c r="F8" s="21">
        <f>MAX((F5+F6),0)</f>
        <v>343.22812193211865</v>
      </c>
      <c r="G8" s="21"/>
      <c r="H8" s="21"/>
      <c r="I8" s="21"/>
      <c r="J8" s="21">
        <f>MAX((J5+J6),0)</f>
        <v>11.936396775971748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0.20362471538952878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16.776436676227885</v>
      </c>
      <c r="C12" s="23">
        <f ca="1">C8*C10</f>
        <v>0</v>
      </c>
      <c r="D12" s="23">
        <f>D8*D10</f>
        <v>12.715470548000003</v>
      </c>
      <c r="E12" s="23">
        <f>E8*E10</f>
        <v>0.54971780859663355</v>
      </c>
      <c r="F12" s="23">
        <f>F8*F10</f>
        <v>91.641908555875688</v>
      </c>
      <c r="G12" s="23"/>
      <c r="H12" s="23"/>
      <c r="I12" s="23"/>
      <c r="J12" s="23">
        <f>J8*J10</f>
        <v>4.2254844586939981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1.1691257587604432E-2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12.362686822375661</v>
      </c>
      <c r="C26" s="247">
        <f>B26*'GWP N2O_CH4'!B5</f>
        <v>259.61642326988886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2.3035087109683334</v>
      </c>
      <c r="C27" s="247">
        <f>B27*'GWP N2O_CH4'!B5</f>
        <v>48.373682930335001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0.14138120093954987</v>
      </c>
      <c r="C28" s="247">
        <f>B28*'GWP N2O_CH4'!B4</f>
        <v>43.828172291260458</v>
      </c>
      <c r="D28" s="50"/>
    </row>
    <row r="29" spans="1:4">
      <c r="A29" s="41" t="s">
        <v>277</v>
      </c>
      <c r="B29" s="247">
        <f>B34*'ha_N2O bodem landbouw'!B4</f>
        <v>2.5218838356373121</v>
      </c>
      <c r="C29" s="247">
        <f>B29*'GWP N2O_CH4'!B4</f>
        <v>781.78398904756671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5.7548520049410877E-4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1.1648453442570438E-4</v>
      </c>
      <c r="C5" s="463" t="s">
        <v>211</v>
      </c>
      <c r="D5" s="448">
        <f>SUM(D6:D11)</f>
        <v>4.2446886462326426E-4</v>
      </c>
      <c r="E5" s="448">
        <f>SUM(E6:E11)</f>
        <v>5.6256548566992106E-4</v>
      </c>
      <c r="F5" s="461" t="s">
        <v>211</v>
      </c>
      <c r="G5" s="448">
        <f>SUM(G6:G11)</f>
        <v>0.18000985948720954</v>
      </c>
      <c r="H5" s="448">
        <f>SUM(H6:H11)</f>
        <v>4.7731025191721614E-2</v>
      </c>
      <c r="I5" s="463" t="s">
        <v>211</v>
      </c>
      <c r="J5" s="463" t="s">
        <v>211</v>
      </c>
      <c r="K5" s="463" t="s">
        <v>211</v>
      </c>
      <c r="L5" s="463" t="s">
        <v>211</v>
      </c>
      <c r="M5" s="448">
        <f>SUM(M6:M11)</f>
        <v>1.1933739758972578E-2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8.4309982905222825E-5</v>
      </c>
      <c r="C6" s="449"/>
      <c r="D6" s="962">
        <f>vkm_2011_GW_PW*SUMIFS(TableVerdeelsleutelVkm[CNG],TableVerdeelsleutelVkm[Voertuigtype],"Lichte voertuigen")*SUMIFS(TableECFTransport[EnergieConsumptieFactor (PJ per km)],TableECFTransport[Index],CONCATENATE($A6,"_CNG_CNG"))</f>
        <v>2.5288155918704014E-4</v>
      </c>
      <c r="E6" s="962">
        <f>vkm_2011_GW_PW*SUMIFS(TableVerdeelsleutelVkm[LPG],TableVerdeelsleutelVkm[Voertuigtype],"Lichte voertuigen")*SUMIFS(TableECFTransport[EnergieConsumptieFactor (PJ per km)],TableECFTransport[Index],CONCATENATE($A6,"_LPG_LPG"))</f>
        <v>3.4547253449531361E-4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8.9323360713361874E-2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2.8757336847255718E-2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6.0721887891814373E-3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3.5782935672901979E-2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1.0904004167392757E-5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2.0910359434647141E-3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3.2174551520481554E-5</v>
      </c>
      <c r="C8" s="449"/>
      <c r="D8" s="451">
        <f>vkm_2011_NGW_PW*SUMIFS(TableVerdeelsleutelVkm[CNG],TableVerdeelsleutelVkm[Voertuigtype],"Lichte voertuigen")*SUMIFS(TableECFTransport[EnergieConsumptieFactor (PJ per km)],TableECFTransport[Index],CONCATENATE($A8,"_CNG_CNG"))</f>
        <v>1.7158730543622409E-4</v>
      </c>
      <c r="E8" s="451">
        <f>vkm_2011_NGW_PW*SUMIFS(TableVerdeelsleutelVkm[LPG],TableVerdeelsleutelVkm[Voertuigtype],"Lichte voertuigen")*SUMIFS(TableECFTransport[EnergieConsumptieFactor (PJ per km)],TableECFTransport[Index],CONCATENATE($A8,"_LPG_LPG"))</f>
        <v>2.1709295117460748E-4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5.2307486998421408E-2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1.8962039594756348E-2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3.6188103343009026E-3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2.5960761025242561E-3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7.4474554215944323E-7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1.5170469202552313E-4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32.356815118251212</v>
      </c>
      <c r="C14" s="21"/>
      <c r="D14" s="21">
        <f t="shared" ref="D14:M14" si="0">((D5)*10^9/3600)+D12</f>
        <v>117.90801795090672</v>
      </c>
      <c r="E14" s="21">
        <f t="shared" si="0"/>
        <v>156.26819046386694</v>
      </c>
      <c r="F14" s="21"/>
      <c r="G14" s="21">
        <f t="shared" si="0"/>
        <v>50002.738746447103</v>
      </c>
      <c r="H14" s="21">
        <f t="shared" si="0"/>
        <v>13258.618108811559</v>
      </c>
      <c r="I14" s="21"/>
      <c r="J14" s="21"/>
      <c r="K14" s="21"/>
      <c r="L14" s="21"/>
      <c r="M14" s="21">
        <f t="shared" si="0"/>
        <v>3314.9277108257161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0.20362471538952878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6.5886472693655049</v>
      </c>
      <c r="C18" s="23"/>
      <c r="D18" s="23">
        <f t="shared" ref="D18:M18" si="1">D14*D16</f>
        <v>23.817419626083161</v>
      </c>
      <c r="E18" s="23">
        <f t="shared" si="1"/>
        <v>35.472879235297796</v>
      </c>
      <c r="F18" s="23"/>
      <c r="G18" s="23">
        <f t="shared" si="1"/>
        <v>13350.731245301376</v>
      </c>
      <c r="H18" s="23">
        <f t="shared" si="1"/>
        <v>3301.395909094078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4.2093138285335275E-3</v>
      </c>
      <c r="H50" s="321">
        <f t="shared" si="2"/>
        <v>0</v>
      </c>
      <c r="I50" s="321">
        <f t="shared" si="2"/>
        <v>0</v>
      </c>
      <c r="J50" s="321">
        <f t="shared" si="2"/>
        <v>0</v>
      </c>
      <c r="K50" s="321">
        <f t="shared" si="2"/>
        <v>0</v>
      </c>
      <c r="L50" s="321">
        <f t="shared" si="2"/>
        <v>0</v>
      </c>
      <c r="M50" s="321">
        <f t="shared" si="2"/>
        <v>2.3907044312328167E-4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4.2093138285335275E-3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2.3907044312328167E-4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1169.2538412593133</v>
      </c>
      <c r="H54" s="21">
        <f t="shared" si="3"/>
        <v>0</v>
      </c>
      <c r="I54" s="21">
        <f t="shared" si="3"/>
        <v>0</v>
      </c>
      <c r="J54" s="21">
        <f t="shared" si="3"/>
        <v>0</v>
      </c>
      <c r="K54" s="21">
        <f t="shared" si="3"/>
        <v>0</v>
      </c>
      <c r="L54" s="21">
        <f t="shared" si="3"/>
        <v>0</v>
      </c>
      <c r="M54" s="21">
        <f t="shared" si="3"/>
        <v>66.408456423133799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0.20362471538952878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312.19077561623664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3817.546514728499</v>
      </c>
      <c r="C6" s="1204"/>
      <c r="D6" s="1189"/>
      <c r="E6" s="1189"/>
      <c r="F6" s="1207"/>
      <c r="G6" s="1210"/>
      <c r="H6" s="1201"/>
      <c r="I6" s="1189"/>
      <c r="J6" s="1189"/>
      <c r="K6" s="1189"/>
      <c r="L6" s="1193"/>
      <c r="M6" s="575"/>
      <c r="N6" s="1167"/>
      <c r="O6" s="1168"/>
      <c r="Q6" s="573"/>
      <c r="R6" s="1155"/>
      <c r="S6" s="1155"/>
    </row>
    <row r="7" spans="1:19" s="563" customFormat="1">
      <c r="A7" s="576" t="s">
        <v>252</v>
      </c>
      <c r="B7" s="577">
        <f>N57</f>
        <v>1323</v>
      </c>
      <c r="C7" s="578">
        <f>B100</f>
        <v>1556.4705882352941</v>
      </c>
      <c r="D7" s="579"/>
      <c r="E7" s="579">
        <f>E100</f>
        <v>0</v>
      </c>
      <c r="F7" s="580"/>
      <c r="G7" s="581"/>
      <c r="H7" s="579">
        <f>I100</f>
        <v>0</v>
      </c>
      <c r="I7" s="579">
        <f>G100+F100</f>
        <v>0</v>
      </c>
      <c r="J7" s="579">
        <f>H100+D100+C100</f>
        <v>0</v>
      </c>
      <c r="K7" s="579"/>
      <c r="L7" s="582"/>
      <c r="M7" s="583">
        <f>C7*$C$11+D7*$D$11+E7*$E$11+F7*$F$11+G7*$G$11+H7*$H$11+I7*$I$11+J7*$J$11</f>
        <v>314.40705882352944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5140.5465147284995</v>
      </c>
      <c r="C9" s="594">
        <f t="shared" ref="C9:L9" si="0">SUM(C7:C8)</f>
        <v>1556.4705882352941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314.40705882352944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1890</v>
      </c>
      <c r="C16" s="610">
        <f>B101</f>
        <v>2223.5294117647063</v>
      </c>
      <c r="D16" s="611"/>
      <c r="E16" s="611">
        <f>E101</f>
        <v>0</v>
      </c>
      <c r="F16" s="612"/>
      <c r="G16" s="613"/>
      <c r="H16" s="610">
        <f>I101</f>
        <v>0</v>
      </c>
      <c r="I16" s="611">
        <f>G101+F101</f>
        <v>0</v>
      </c>
      <c r="J16" s="611">
        <f>H101+D101+C101</f>
        <v>0</v>
      </c>
      <c r="K16" s="611"/>
      <c r="L16" s="614"/>
      <c r="M16" s="615">
        <f>C16*$C$21+E16*$E$21+H16*$H$21+I16*$I$21+J16*$J$21+D16*$D$21+F16*$F$21+G16*$G$21+K16*$K$21+L16*$L$21</f>
        <v>449.15294117647068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1890</v>
      </c>
      <c r="C19" s="593">
        <f>SUM(C16:C18)</f>
        <v>2223.5294117647063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449.15294117647068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71034</v>
      </c>
      <c r="C27" s="851">
        <v>3970</v>
      </c>
      <c r="D27" s="672" t="s">
        <v>809</v>
      </c>
      <c r="E27" s="671" t="s">
        <v>810</v>
      </c>
      <c r="F27" s="671" t="s">
        <v>811</v>
      </c>
      <c r="G27" s="671" t="s">
        <v>812</v>
      </c>
      <c r="H27" s="671" t="s">
        <v>813</v>
      </c>
      <c r="I27" s="671" t="s">
        <v>814</v>
      </c>
      <c r="J27" s="850">
        <v>38626</v>
      </c>
      <c r="K27" s="850">
        <v>39417</v>
      </c>
      <c r="L27" s="671" t="s">
        <v>815</v>
      </c>
      <c r="M27" s="671">
        <v>294</v>
      </c>
      <c r="N27" s="671">
        <v>1323</v>
      </c>
      <c r="O27" s="671">
        <v>1890</v>
      </c>
      <c r="P27" s="671">
        <v>3780.0000000000005</v>
      </c>
      <c r="Q27" s="671">
        <v>0</v>
      </c>
      <c r="R27" s="671">
        <v>0</v>
      </c>
      <c r="S27" s="671">
        <v>0</v>
      </c>
      <c r="T27" s="671">
        <v>0</v>
      </c>
      <c r="U27" s="671">
        <v>0</v>
      </c>
      <c r="V27" s="671">
        <v>0</v>
      </c>
      <c r="W27" s="671">
        <v>0</v>
      </c>
      <c r="X27" s="671">
        <v>1300</v>
      </c>
      <c r="Y27" s="671" t="s">
        <v>54</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294</v>
      </c>
      <c r="N57" s="629">
        <f>SUM(N27:N56)</f>
        <v>1323</v>
      </c>
      <c r="O57" s="629">
        <f t="shared" ref="O57:W57" si="2">SUM(O27:O56)</f>
        <v>1890</v>
      </c>
      <c r="P57" s="629">
        <f t="shared" si="2"/>
        <v>3780.0000000000005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294</v>
      </c>
      <c r="N59" s="629">
        <f ca="1">SUMIF($Z$27:AB56,"tertiair",N27:N56)</f>
        <v>1323</v>
      </c>
      <c r="O59" s="629">
        <f ca="1">SUMIF($Z$27:AC56,"tertiair",O27:O56)</f>
        <v>1890</v>
      </c>
      <c r="P59" s="629">
        <f ca="1">SUMIF($Z$27:AD56,"tertiair",P27:P56)</f>
        <v>3780.0000000000005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1556.4705882352941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2223.5294117647063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18836.984000000004</v>
      </c>
      <c r="D10" s="718">
        <f ca="1">tertiair!C16</f>
        <v>1890</v>
      </c>
      <c r="E10" s="718">
        <f ca="1">tertiair!D16</f>
        <v>31433.110755900008</v>
      </c>
      <c r="F10" s="718">
        <f>tertiair!E16</f>
        <v>184.01995972117001</v>
      </c>
      <c r="G10" s="718">
        <f ca="1">tertiair!F16</f>
        <v>2784.0357880928836</v>
      </c>
      <c r="H10" s="718">
        <f>tertiair!G16</f>
        <v>0</v>
      </c>
      <c r="I10" s="718">
        <f>tertiair!H16</f>
        <v>0</v>
      </c>
      <c r="J10" s="718">
        <f>tertiair!I16</f>
        <v>0</v>
      </c>
      <c r="K10" s="718">
        <f>tertiair!J16</f>
        <v>2.17733841508275E-2</v>
      </c>
      <c r="L10" s="718">
        <f>tertiair!K16</f>
        <v>0</v>
      </c>
      <c r="M10" s="718">
        <f ca="1">tertiair!L16</f>
        <v>0</v>
      </c>
      <c r="N10" s="718">
        <f>tertiair!M16</f>
        <v>0</v>
      </c>
      <c r="O10" s="718">
        <f ca="1">tertiair!N16</f>
        <v>882.09370690722392</v>
      </c>
      <c r="P10" s="718">
        <f>tertiair!O16</f>
        <v>0</v>
      </c>
      <c r="Q10" s="719">
        <f>tertiair!P16</f>
        <v>38.133333333333333</v>
      </c>
      <c r="R10" s="721">
        <f ca="1">SUM(C10:Q10)</f>
        <v>56048.399317338772</v>
      </c>
      <c r="S10" s="67"/>
    </row>
    <row r="11" spans="1:19" s="474" customFormat="1">
      <c r="A11" s="870" t="s">
        <v>225</v>
      </c>
      <c r="B11" s="875"/>
      <c r="C11" s="718">
        <f>huishoudens!B8</f>
        <v>26577.937012552353</v>
      </c>
      <c r="D11" s="718">
        <f>huishoudens!C8</f>
        <v>0</v>
      </c>
      <c r="E11" s="718">
        <f>huishoudens!D8</f>
        <v>46291.4912625</v>
      </c>
      <c r="F11" s="718">
        <f>huishoudens!E8</f>
        <v>2331.3358915949143</v>
      </c>
      <c r="G11" s="718">
        <f>huishoudens!F8</f>
        <v>27529.604014564447</v>
      </c>
      <c r="H11" s="718">
        <f>huishoudens!G8</f>
        <v>0</v>
      </c>
      <c r="I11" s="718">
        <f>huishoudens!H8</f>
        <v>0</v>
      </c>
      <c r="J11" s="718">
        <f>huishoudens!I8</f>
        <v>0</v>
      </c>
      <c r="K11" s="718">
        <f>huishoudens!J8</f>
        <v>0</v>
      </c>
      <c r="L11" s="718">
        <f>huishoudens!K8</f>
        <v>0</v>
      </c>
      <c r="M11" s="718">
        <f>huishoudens!L8</f>
        <v>0</v>
      </c>
      <c r="N11" s="718">
        <f>huishoudens!M8</f>
        <v>0</v>
      </c>
      <c r="O11" s="718">
        <f>huishoudens!N8</f>
        <v>8298.1802096908596</v>
      </c>
      <c r="P11" s="718">
        <f>huishoudens!O8</f>
        <v>287.65333333333336</v>
      </c>
      <c r="Q11" s="719">
        <f>huishoudens!P8</f>
        <v>762.66666666666674</v>
      </c>
      <c r="R11" s="721">
        <f>SUM(C11:Q11)</f>
        <v>112078.8683909026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1758.98135</v>
      </c>
      <c r="D13" s="718">
        <f>industrie!C18</f>
        <v>0</v>
      </c>
      <c r="E13" s="718">
        <f>industrie!D18</f>
        <v>1330.9845252</v>
      </c>
      <c r="F13" s="718">
        <f>industrie!E18</f>
        <v>245.87157839263318</v>
      </c>
      <c r="G13" s="718">
        <f>industrie!F18</f>
        <v>820.10205462750423</v>
      </c>
      <c r="H13" s="718">
        <f>industrie!G18</f>
        <v>0</v>
      </c>
      <c r="I13" s="718">
        <f>industrie!H18</f>
        <v>0</v>
      </c>
      <c r="J13" s="718">
        <f>industrie!I18</f>
        <v>0</v>
      </c>
      <c r="K13" s="718">
        <f>industrie!J18</f>
        <v>0.7013774472750044</v>
      </c>
      <c r="L13" s="718">
        <f>industrie!K18</f>
        <v>0</v>
      </c>
      <c r="M13" s="718">
        <f>industrie!L18</f>
        <v>0</v>
      </c>
      <c r="N13" s="718">
        <f>industrie!M18</f>
        <v>0</v>
      </c>
      <c r="O13" s="718">
        <f>industrie!N18</f>
        <v>390.94035247735405</v>
      </c>
      <c r="P13" s="718">
        <f>industrie!O18</f>
        <v>0</v>
      </c>
      <c r="Q13" s="719">
        <f>industrie!P18</f>
        <v>0</v>
      </c>
      <c r="R13" s="721">
        <f>SUM(C13:Q13)</f>
        <v>4547.5812381447668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47173.902362552355</v>
      </c>
      <c r="D15" s="723">
        <f t="shared" ref="D15:Q15" ca="1" si="0">SUM(D9:D14)</f>
        <v>1890</v>
      </c>
      <c r="E15" s="723">
        <f t="shared" ca="1" si="0"/>
        <v>79055.586543600002</v>
      </c>
      <c r="F15" s="723">
        <f t="shared" si="0"/>
        <v>2761.2274297087174</v>
      </c>
      <c r="G15" s="723">
        <f t="shared" ca="1" si="0"/>
        <v>31133.741857284833</v>
      </c>
      <c r="H15" s="723">
        <f t="shared" si="0"/>
        <v>0</v>
      </c>
      <c r="I15" s="723">
        <f t="shared" si="0"/>
        <v>0</v>
      </c>
      <c r="J15" s="723">
        <f t="shared" si="0"/>
        <v>0</v>
      </c>
      <c r="K15" s="723">
        <f t="shared" si="0"/>
        <v>0.72315083142583192</v>
      </c>
      <c r="L15" s="723">
        <f t="shared" si="0"/>
        <v>0</v>
      </c>
      <c r="M15" s="723">
        <f t="shared" ca="1" si="0"/>
        <v>0</v>
      </c>
      <c r="N15" s="723">
        <f t="shared" si="0"/>
        <v>0</v>
      </c>
      <c r="O15" s="723">
        <f t="shared" ca="1" si="0"/>
        <v>9571.2142690754372</v>
      </c>
      <c r="P15" s="723">
        <f t="shared" si="0"/>
        <v>287.65333333333336</v>
      </c>
      <c r="Q15" s="724">
        <f t="shared" si="0"/>
        <v>800.80000000000007</v>
      </c>
      <c r="R15" s="725">
        <f ca="1">SUM(R9:R14)</f>
        <v>172674.84894638613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1169.2538412593133</v>
      </c>
      <c r="I18" s="718">
        <f>transport!H54</f>
        <v>0</v>
      </c>
      <c r="J18" s="718">
        <f>transport!I54</f>
        <v>0</v>
      </c>
      <c r="K18" s="718">
        <f>transport!J54</f>
        <v>0</v>
      </c>
      <c r="L18" s="718">
        <f>transport!K54</f>
        <v>0</v>
      </c>
      <c r="M18" s="718">
        <f>transport!L54</f>
        <v>0</v>
      </c>
      <c r="N18" s="718">
        <f>transport!M54</f>
        <v>66.408456423133799</v>
      </c>
      <c r="O18" s="718">
        <f>transport!N54</f>
        <v>0</v>
      </c>
      <c r="P18" s="718">
        <f>transport!O54</f>
        <v>0</v>
      </c>
      <c r="Q18" s="719">
        <f>transport!P54</f>
        <v>0</v>
      </c>
      <c r="R18" s="721">
        <f>SUM(C18:Q18)</f>
        <v>1235.6622976824472</v>
      </c>
      <c r="S18" s="67"/>
    </row>
    <row r="19" spans="1:19" s="474" customFormat="1" ht="15" thickBot="1">
      <c r="A19" s="870" t="s">
        <v>307</v>
      </c>
      <c r="B19" s="875"/>
      <c r="C19" s="727">
        <f>transport!B14</f>
        <v>32.356815118251212</v>
      </c>
      <c r="D19" s="727">
        <f>transport!C14</f>
        <v>0</v>
      </c>
      <c r="E19" s="727">
        <f>transport!D14</f>
        <v>117.90801795090672</v>
      </c>
      <c r="F19" s="727">
        <f>transport!E14</f>
        <v>156.26819046386694</v>
      </c>
      <c r="G19" s="727">
        <f>transport!F14</f>
        <v>0</v>
      </c>
      <c r="H19" s="727">
        <f>transport!G14</f>
        <v>50002.738746447103</v>
      </c>
      <c r="I19" s="727">
        <f>transport!H14</f>
        <v>13258.618108811559</v>
      </c>
      <c r="J19" s="727">
        <f>transport!I14</f>
        <v>0</v>
      </c>
      <c r="K19" s="727">
        <f>transport!J14</f>
        <v>0</v>
      </c>
      <c r="L19" s="727">
        <f>transport!K14</f>
        <v>0</v>
      </c>
      <c r="M19" s="727">
        <f>transport!L14</f>
        <v>0</v>
      </c>
      <c r="N19" s="727">
        <f>transport!M14</f>
        <v>3314.9277108257161</v>
      </c>
      <c r="O19" s="727">
        <f>transport!N14</f>
        <v>0</v>
      </c>
      <c r="P19" s="727">
        <f>transport!O14</f>
        <v>0</v>
      </c>
      <c r="Q19" s="728">
        <f>transport!P14</f>
        <v>0</v>
      </c>
      <c r="R19" s="729">
        <f>SUM(C19:Q19)</f>
        <v>66882.817589617407</v>
      </c>
      <c r="S19" s="67"/>
    </row>
    <row r="20" spans="1:19" s="474" customFormat="1" ht="15.75" thickBot="1">
      <c r="A20" s="730" t="s">
        <v>230</v>
      </c>
      <c r="B20" s="878"/>
      <c r="C20" s="873">
        <f>SUM(C17:C19)</f>
        <v>32.356815118251212</v>
      </c>
      <c r="D20" s="731">
        <f t="shared" ref="D20:R20" si="1">SUM(D17:D19)</f>
        <v>0</v>
      </c>
      <c r="E20" s="731">
        <f t="shared" si="1"/>
        <v>117.90801795090672</v>
      </c>
      <c r="F20" s="731">
        <f t="shared" si="1"/>
        <v>156.26819046386694</v>
      </c>
      <c r="G20" s="731">
        <f t="shared" si="1"/>
        <v>0</v>
      </c>
      <c r="H20" s="731">
        <f t="shared" si="1"/>
        <v>51171.992587706416</v>
      </c>
      <c r="I20" s="731">
        <f t="shared" si="1"/>
        <v>13258.618108811559</v>
      </c>
      <c r="J20" s="731">
        <f t="shared" si="1"/>
        <v>0</v>
      </c>
      <c r="K20" s="731">
        <f t="shared" si="1"/>
        <v>0</v>
      </c>
      <c r="L20" s="731">
        <f t="shared" si="1"/>
        <v>0</v>
      </c>
      <c r="M20" s="731">
        <f t="shared" si="1"/>
        <v>0</v>
      </c>
      <c r="N20" s="731">
        <f t="shared" si="1"/>
        <v>3381.33616724885</v>
      </c>
      <c r="O20" s="731">
        <f t="shared" si="1"/>
        <v>0</v>
      </c>
      <c r="P20" s="731">
        <f t="shared" si="1"/>
        <v>0</v>
      </c>
      <c r="Q20" s="732">
        <f t="shared" si="1"/>
        <v>0</v>
      </c>
      <c r="R20" s="733">
        <f t="shared" si="1"/>
        <v>68118.479887299851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82.388999999999996</v>
      </c>
      <c r="D22" s="727">
        <f>+landbouw!C8</f>
        <v>0</v>
      </c>
      <c r="E22" s="727">
        <f>+landbouw!D8</f>
        <v>62.947874000000006</v>
      </c>
      <c r="F22" s="727">
        <f>+landbouw!E8</f>
        <v>2.4216643550512491</v>
      </c>
      <c r="G22" s="727">
        <f>+landbouw!F8</f>
        <v>343.22812193211865</v>
      </c>
      <c r="H22" s="727">
        <f>+landbouw!G8</f>
        <v>0</v>
      </c>
      <c r="I22" s="727">
        <f>+landbouw!H8</f>
        <v>0</v>
      </c>
      <c r="J22" s="727">
        <f>+landbouw!I8</f>
        <v>0</v>
      </c>
      <c r="K22" s="727">
        <f>+landbouw!J8</f>
        <v>11.936396775971748</v>
      </c>
      <c r="L22" s="727">
        <f>+landbouw!K8</f>
        <v>0</v>
      </c>
      <c r="M22" s="727">
        <f>+landbouw!L8</f>
        <v>0</v>
      </c>
      <c r="N22" s="727">
        <f>+landbouw!M8</f>
        <v>0</v>
      </c>
      <c r="O22" s="727">
        <f>+landbouw!N8</f>
        <v>0</v>
      </c>
      <c r="P22" s="727">
        <f>+landbouw!O8</f>
        <v>0</v>
      </c>
      <c r="Q22" s="728">
        <f>+landbouw!P8</f>
        <v>0</v>
      </c>
      <c r="R22" s="729">
        <f>SUM(C22:Q22)</f>
        <v>502.92305706314164</v>
      </c>
      <c r="S22" s="67"/>
    </row>
    <row r="23" spans="1:19" s="474" customFormat="1" ht="17.25" thickTop="1" thickBot="1">
      <c r="A23" s="734" t="s">
        <v>116</v>
      </c>
      <c r="B23" s="864"/>
      <c r="C23" s="735">
        <f ca="1">C20+C15+C22</f>
        <v>47288.648177670606</v>
      </c>
      <c r="D23" s="735">
        <f t="shared" ref="D23:Q23" ca="1" si="2">D20+D15+D22</f>
        <v>1890</v>
      </c>
      <c r="E23" s="735">
        <f t="shared" ca="1" si="2"/>
        <v>79236.442435550911</v>
      </c>
      <c r="F23" s="735">
        <f t="shared" si="2"/>
        <v>2919.9172845276357</v>
      </c>
      <c r="G23" s="735">
        <f t="shared" ca="1" si="2"/>
        <v>31476.969979216952</v>
      </c>
      <c r="H23" s="735">
        <f t="shared" si="2"/>
        <v>51171.992587706416</v>
      </c>
      <c r="I23" s="735">
        <f t="shared" si="2"/>
        <v>13258.618108811559</v>
      </c>
      <c r="J23" s="735">
        <f t="shared" si="2"/>
        <v>0</v>
      </c>
      <c r="K23" s="735">
        <f t="shared" si="2"/>
        <v>12.659547607397579</v>
      </c>
      <c r="L23" s="735">
        <f t="shared" si="2"/>
        <v>0</v>
      </c>
      <c r="M23" s="735">
        <f t="shared" ca="1" si="2"/>
        <v>0</v>
      </c>
      <c r="N23" s="735">
        <f t="shared" si="2"/>
        <v>3381.33616724885</v>
      </c>
      <c r="O23" s="735">
        <f t="shared" ca="1" si="2"/>
        <v>9571.2142690754372</v>
      </c>
      <c r="P23" s="735">
        <f t="shared" si="2"/>
        <v>287.65333333333336</v>
      </c>
      <c r="Q23" s="736">
        <f t="shared" si="2"/>
        <v>800.80000000000007</v>
      </c>
      <c r="R23" s="737">
        <f ca="1">R20+R15+R22</f>
        <v>241296.25189074912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3835.6755057971081</v>
      </c>
      <c r="D36" s="718">
        <f ca="1">tertiair!C20</f>
        <v>449.15294117647068</v>
      </c>
      <c r="E36" s="718">
        <f ca="1">tertiair!D20</f>
        <v>6349.4883726918024</v>
      </c>
      <c r="F36" s="718">
        <f>tertiair!E20</f>
        <v>41.772530856705593</v>
      </c>
      <c r="G36" s="718">
        <f ca="1">tertiair!F20</f>
        <v>743.33755542079996</v>
      </c>
      <c r="H36" s="718">
        <f>tertiair!G20</f>
        <v>0</v>
      </c>
      <c r="I36" s="718">
        <f>tertiair!H20</f>
        <v>0</v>
      </c>
      <c r="J36" s="718">
        <f>tertiair!I20</f>
        <v>0</v>
      </c>
      <c r="K36" s="718">
        <f>tertiair!J20</f>
        <v>7.7077779893929346E-3</v>
      </c>
      <c r="L36" s="718">
        <f>tertiair!K20</f>
        <v>0</v>
      </c>
      <c r="M36" s="718">
        <f ca="1">tertiair!L20</f>
        <v>0</v>
      </c>
      <c r="N36" s="718">
        <f>tertiair!M20</f>
        <v>0</v>
      </c>
      <c r="O36" s="718">
        <f ca="1">tertiair!N20</f>
        <v>0</v>
      </c>
      <c r="P36" s="718">
        <f>tertiair!O20</f>
        <v>0</v>
      </c>
      <c r="Q36" s="828">
        <f>tertiair!P20</f>
        <v>0</v>
      </c>
      <c r="R36" s="917">
        <f ca="1">SUM(C36:Q36)</f>
        <v>11419.434613720878</v>
      </c>
    </row>
    <row r="37" spans="1:18">
      <c r="A37" s="885" t="s">
        <v>225</v>
      </c>
      <c r="B37" s="892"/>
      <c r="C37" s="718">
        <f ca="1">huishoudens!B12</f>
        <v>5411.9248598217955</v>
      </c>
      <c r="D37" s="718">
        <f ca="1">huishoudens!C12</f>
        <v>0</v>
      </c>
      <c r="E37" s="718">
        <f>huishoudens!D12</f>
        <v>9350.8812350250009</v>
      </c>
      <c r="F37" s="718">
        <f>huishoudens!E12</f>
        <v>529.21324739204556</v>
      </c>
      <c r="G37" s="718">
        <f>huishoudens!F12</f>
        <v>7350.4042718887076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22642.423614127551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358.17207676923914</v>
      </c>
      <c r="D39" s="718">
        <f ca="1">industrie!C22</f>
        <v>0</v>
      </c>
      <c r="E39" s="718">
        <f>industrie!D22</f>
        <v>268.85887409040004</v>
      </c>
      <c r="F39" s="718">
        <f>industrie!E22</f>
        <v>55.812848295127736</v>
      </c>
      <c r="G39" s="718">
        <f>industrie!F22</f>
        <v>218.96724858554364</v>
      </c>
      <c r="H39" s="718">
        <f>industrie!G22</f>
        <v>0</v>
      </c>
      <c r="I39" s="718">
        <f>industrie!H22</f>
        <v>0</v>
      </c>
      <c r="J39" s="718">
        <f>industrie!I22</f>
        <v>0</v>
      </c>
      <c r="K39" s="718">
        <f>industrie!J22</f>
        <v>0.24828761633535154</v>
      </c>
      <c r="L39" s="718">
        <f>industrie!K22</f>
        <v>0</v>
      </c>
      <c r="M39" s="718">
        <f>industrie!L22</f>
        <v>0</v>
      </c>
      <c r="N39" s="718">
        <f>industrie!M22</f>
        <v>0</v>
      </c>
      <c r="O39" s="718">
        <f>industrie!N22</f>
        <v>0</v>
      </c>
      <c r="P39" s="718">
        <f>industrie!O22</f>
        <v>0</v>
      </c>
      <c r="Q39" s="828">
        <f>industrie!P22</f>
        <v>0</v>
      </c>
      <c r="R39" s="918">
        <f ca="1">SUM(C39:Q39)</f>
        <v>902.05933535664599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9605.7724423881427</v>
      </c>
      <c r="D41" s="763">
        <f t="shared" ref="D41:R41" ca="1" si="4">SUM(D35:D40)</f>
        <v>449.15294117647068</v>
      </c>
      <c r="E41" s="763">
        <f t="shared" ca="1" si="4"/>
        <v>15969.228481807202</v>
      </c>
      <c r="F41" s="763">
        <f t="shared" si="4"/>
        <v>626.79862654387887</v>
      </c>
      <c r="G41" s="763">
        <f t="shared" ca="1" si="4"/>
        <v>8312.7090758950508</v>
      </c>
      <c r="H41" s="763">
        <f t="shared" si="4"/>
        <v>0</v>
      </c>
      <c r="I41" s="763">
        <f t="shared" si="4"/>
        <v>0</v>
      </c>
      <c r="J41" s="763">
        <f t="shared" si="4"/>
        <v>0</v>
      </c>
      <c r="K41" s="763">
        <f t="shared" si="4"/>
        <v>0.2559953943247445</v>
      </c>
      <c r="L41" s="763">
        <f t="shared" si="4"/>
        <v>0</v>
      </c>
      <c r="M41" s="763">
        <f t="shared" ca="1" si="4"/>
        <v>0</v>
      </c>
      <c r="N41" s="763">
        <f t="shared" si="4"/>
        <v>0</v>
      </c>
      <c r="O41" s="763">
        <f t="shared" ca="1" si="4"/>
        <v>0</v>
      </c>
      <c r="P41" s="763">
        <f t="shared" si="4"/>
        <v>0</v>
      </c>
      <c r="Q41" s="764">
        <f t="shared" si="4"/>
        <v>0</v>
      </c>
      <c r="R41" s="765">
        <f t="shared" ca="1" si="4"/>
        <v>34963.917563205068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312.19077561623664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312.19077561623664</v>
      </c>
    </row>
    <row r="45" spans="1:18" ht="15" thickBot="1">
      <c r="A45" s="888" t="s">
        <v>307</v>
      </c>
      <c r="B45" s="898"/>
      <c r="C45" s="727">
        <f ca="1">transport!B18</f>
        <v>6.5886472693655049</v>
      </c>
      <c r="D45" s="727">
        <f>transport!C18</f>
        <v>0</v>
      </c>
      <c r="E45" s="727">
        <f>transport!D18</f>
        <v>23.817419626083161</v>
      </c>
      <c r="F45" s="727">
        <f>transport!E18</f>
        <v>35.472879235297796</v>
      </c>
      <c r="G45" s="727">
        <f>transport!F18</f>
        <v>0</v>
      </c>
      <c r="H45" s="727">
        <f>transport!G18</f>
        <v>13350.731245301376</v>
      </c>
      <c r="I45" s="727">
        <f>transport!H18</f>
        <v>3301.395909094078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16718.0061005262</v>
      </c>
    </row>
    <row r="46" spans="1:18" ht="15.75" thickBot="1">
      <c r="A46" s="886" t="s">
        <v>230</v>
      </c>
      <c r="B46" s="899"/>
      <c r="C46" s="763">
        <f t="shared" ref="C46:R46" ca="1" si="5">SUM(C43:C45)</f>
        <v>6.5886472693655049</v>
      </c>
      <c r="D46" s="763">
        <f t="shared" ca="1" si="5"/>
        <v>0</v>
      </c>
      <c r="E46" s="763">
        <f t="shared" si="5"/>
        <v>23.817419626083161</v>
      </c>
      <c r="F46" s="763">
        <f t="shared" si="5"/>
        <v>35.472879235297796</v>
      </c>
      <c r="G46" s="763">
        <f t="shared" si="5"/>
        <v>0</v>
      </c>
      <c r="H46" s="763">
        <f t="shared" si="5"/>
        <v>13662.922020917613</v>
      </c>
      <c r="I46" s="763">
        <f t="shared" si="5"/>
        <v>3301.395909094078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17030.196876142436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16.776436676227885</v>
      </c>
      <c r="D48" s="718">
        <f ca="1">+landbouw!C12</f>
        <v>0</v>
      </c>
      <c r="E48" s="718">
        <f>+landbouw!D12</f>
        <v>12.715470548000003</v>
      </c>
      <c r="F48" s="718">
        <f>+landbouw!E12</f>
        <v>0.54971780859663355</v>
      </c>
      <c r="G48" s="718">
        <f>+landbouw!F12</f>
        <v>91.641908555875688</v>
      </c>
      <c r="H48" s="718">
        <f>+landbouw!G12</f>
        <v>0</v>
      </c>
      <c r="I48" s="718">
        <f>+landbouw!H12</f>
        <v>0</v>
      </c>
      <c r="J48" s="718">
        <f>+landbouw!I12</f>
        <v>0</v>
      </c>
      <c r="K48" s="718">
        <f>+landbouw!J12</f>
        <v>4.2254844586939981</v>
      </c>
      <c r="L48" s="718">
        <f>+landbouw!K12</f>
        <v>0</v>
      </c>
      <c r="M48" s="718">
        <f>+landbouw!L12</f>
        <v>0</v>
      </c>
      <c r="N48" s="718">
        <f>+landbouw!M12</f>
        <v>0</v>
      </c>
      <c r="O48" s="718">
        <f>+landbouw!N12</f>
        <v>0</v>
      </c>
      <c r="P48" s="718">
        <f>+landbouw!O12</f>
        <v>0</v>
      </c>
      <c r="Q48" s="719">
        <f>+landbouw!P12</f>
        <v>0</v>
      </c>
      <c r="R48" s="761">
        <f ca="1">SUM(C48:Q48)</f>
        <v>125.90901804739421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9629.1375263337359</v>
      </c>
      <c r="D53" s="773">
        <f t="shared" ref="D53:Q53" ca="1" si="6">D41+D46+D48</f>
        <v>449.15294117647068</v>
      </c>
      <c r="E53" s="773">
        <f t="shared" ca="1" si="6"/>
        <v>16005.761371981285</v>
      </c>
      <c r="F53" s="773">
        <f t="shared" si="6"/>
        <v>662.82122358777326</v>
      </c>
      <c r="G53" s="773">
        <f t="shared" ca="1" si="6"/>
        <v>8404.3509844509263</v>
      </c>
      <c r="H53" s="773">
        <f t="shared" si="6"/>
        <v>13662.922020917613</v>
      </c>
      <c r="I53" s="773">
        <f t="shared" si="6"/>
        <v>3301.395909094078</v>
      </c>
      <c r="J53" s="773">
        <f t="shared" si="6"/>
        <v>0</v>
      </c>
      <c r="K53" s="773">
        <f t="shared" si="6"/>
        <v>4.481479853018743</v>
      </c>
      <c r="L53" s="773">
        <f t="shared" si="6"/>
        <v>0</v>
      </c>
      <c r="M53" s="773">
        <f t="shared" ca="1" si="6"/>
        <v>0</v>
      </c>
      <c r="N53" s="773">
        <f t="shared" si="6"/>
        <v>0</v>
      </c>
      <c r="O53" s="773">
        <f t="shared" ca="1" si="6"/>
        <v>0</v>
      </c>
      <c r="P53" s="773">
        <f>P41+P46+P48</f>
        <v>0</v>
      </c>
      <c r="Q53" s="774">
        <f t="shared" si="6"/>
        <v>0</v>
      </c>
      <c r="R53" s="775">
        <f ca="1">R41+R46+R48</f>
        <v>52120.023457394898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0.20362471538952878</v>
      </c>
      <c r="D55" s="836">
        <f t="shared" ca="1" si="7"/>
        <v>0.23764705882352946</v>
      </c>
      <c r="E55" s="836">
        <f t="shared" ca="1" si="7"/>
        <v>0.20200000000000001</v>
      </c>
      <c r="F55" s="836">
        <f t="shared" si="7"/>
        <v>0.22699999999999998</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3817.546514728499</v>
      </c>
      <c r="C66" s="795">
        <f>'lokale energieproductie'!B6</f>
        <v>3817.546514728499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1323</v>
      </c>
      <c r="C67" s="794">
        <f>B67*IFERROR(SUM(J67:L67)/SUM(D67:M67),0)</f>
        <v>0</v>
      </c>
      <c r="D67" s="826">
        <f>'lokale energieproductie'!C7</f>
        <v>1556.4705882352941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314.40705882352944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5140.5465147284995</v>
      </c>
      <c r="C69" s="803">
        <f>SUM(C64:C68)</f>
        <v>3817.546514728499</v>
      </c>
      <c r="D69" s="804">
        <f t="shared" ref="D69:M69" si="8">SUM(D67:D68)</f>
        <v>1556.4705882352941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314.40705882352944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1890</v>
      </c>
      <c r="C78" s="817">
        <f>B78*IFERROR(SUM(I78:L78)/SUM(D78:M78),0)</f>
        <v>0</v>
      </c>
      <c r="D78" s="832">
        <f>'lokale energieproductie'!C16</f>
        <v>2223.5294117647063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449.15294117647068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1890</v>
      </c>
      <c r="C81" s="803">
        <f>SUM(C78:C80)</f>
        <v>0</v>
      </c>
      <c r="D81" s="803">
        <f t="shared" ref="D81:P81" si="9">SUM(D78:D80)</f>
        <v>2223.5294117647063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449.15294117647068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26577.937012552353</v>
      </c>
      <c r="C4" s="478">
        <f>huishoudens!C8</f>
        <v>0</v>
      </c>
      <c r="D4" s="478">
        <f>huishoudens!D8</f>
        <v>46291.4912625</v>
      </c>
      <c r="E4" s="478">
        <f>huishoudens!E8</f>
        <v>2331.3358915949143</v>
      </c>
      <c r="F4" s="478">
        <f>huishoudens!F8</f>
        <v>27529.604014564447</v>
      </c>
      <c r="G4" s="478">
        <f>huishoudens!G8</f>
        <v>0</v>
      </c>
      <c r="H4" s="478">
        <f>huishoudens!H8</f>
        <v>0</v>
      </c>
      <c r="I4" s="478">
        <f>huishoudens!I8</f>
        <v>0</v>
      </c>
      <c r="J4" s="478">
        <f>huishoudens!J8</f>
        <v>0</v>
      </c>
      <c r="K4" s="478">
        <f>huishoudens!K8</f>
        <v>0</v>
      </c>
      <c r="L4" s="478">
        <f>huishoudens!L8</f>
        <v>0</v>
      </c>
      <c r="M4" s="478">
        <f>huishoudens!M8</f>
        <v>0</v>
      </c>
      <c r="N4" s="478">
        <f>huishoudens!N8</f>
        <v>8298.1802096908596</v>
      </c>
      <c r="O4" s="478">
        <f>huishoudens!O8</f>
        <v>287.65333333333336</v>
      </c>
      <c r="P4" s="479">
        <f>huishoudens!P8</f>
        <v>762.66666666666674</v>
      </c>
      <c r="Q4" s="480">
        <f>SUM(B4:P4)</f>
        <v>112078.8683909026</v>
      </c>
    </row>
    <row r="5" spans="1:17">
      <c r="A5" s="477" t="s">
        <v>156</v>
      </c>
      <c r="B5" s="478">
        <f ca="1">tertiair!B16</f>
        <v>17960.805000000004</v>
      </c>
      <c r="C5" s="478">
        <f ca="1">tertiair!C16</f>
        <v>1890</v>
      </c>
      <c r="D5" s="478">
        <f ca="1">tertiair!D16</f>
        <v>31433.110755900008</v>
      </c>
      <c r="E5" s="478">
        <f>tertiair!E16</f>
        <v>184.01995972117001</v>
      </c>
      <c r="F5" s="478">
        <f ca="1">tertiair!F16</f>
        <v>2784.0357880928836</v>
      </c>
      <c r="G5" s="478">
        <f>tertiair!G16</f>
        <v>0</v>
      </c>
      <c r="H5" s="478">
        <f>tertiair!H16</f>
        <v>0</v>
      </c>
      <c r="I5" s="478">
        <f>tertiair!I16</f>
        <v>0</v>
      </c>
      <c r="J5" s="478">
        <f>tertiair!J16</f>
        <v>2.17733841508275E-2</v>
      </c>
      <c r="K5" s="478">
        <f>tertiair!K16</f>
        <v>0</v>
      </c>
      <c r="L5" s="478">
        <f ca="1">tertiair!L16</f>
        <v>0</v>
      </c>
      <c r="M5" s="478">
        <f>tertiair!M16</f>
        <v>0</v>
      </c>
      <c r="N5" s="478">
        <f ca="1">tertiair!N16</f>
        <v>882.09370690722392</v>
      </c>
      <c r="O5" s="478">
        <f>tertiair!O16</f>
        <v>0</v>
      </c>
      <c r="P5" s="479">
        <f>tertiair!P16</f>
        <v>38.133333333333333</v>
      </c>
      <c r="Q5" s="477">
        <f t="shared" ref="Q5:Q13" ca="1" si="0">SUM(B5:P5)</f>
        <v>55172.220317338775</v>
      </c>
    </row>
    <row r="6" spans="1:17">
      <c r="A6" s="477" t="s">
        <v>194</v>
      </c>
      <c r="B6" s="478">
        <f>'openbare verlichting'!B8</f>
        <v>876.17899999999997</v>
      </c>
      <c r="C6" s="478"/>
      <c r="D6" s="478"/>
      <c r="E6" s="478"/>
      <c r="F6" s="478"/>
      <c r="G6" s="478"/>
      <c r="H6" s="478"/>
      <c r="I6" s="478"/>
      <c r="J6" s="478"/>
      <c r="K6" s="478"/>
      <c r="L6" s="478"/>
      <c r="M6" s="478"/>
      <c r="N6" s="478"/>
      <c r="O6" s="478"/>
      <c r="P6" s="479"/>
      <c r="Q6" s="477">
        <f t="shared" si="0"/>
        <v>876.17899999999997</v>
      </c>
    </row>
    <row r="7" spans="1:17">
      <c r="A7" s="477" t="s">
        <v>112</v>
      </c>
      <c r="B7" s="478">
        <f>landbouw!B8</f>
        <v>82.388999999999996</v>
      </c>
      <c r="C7" s="478">
        <f>landbouw!C8</f>
        <v>0</v>
      </c>
      <c r="D7" s="478">
        <f>landbouw!D8</f>
        <v>62.947874000000006</v>
      </c>
      <c r="E7" s="478">
        <f>landbouw!E8</f>
        <v>2.4216643550512491</v>
      </c>
      <c r="F7" s="478">
        <f>landbouw!F8</f>
        <v>343.22812193211865</v>
      </c>
      <c r="G7" s="478">
        <f>landbouw!G8</f>
        <v>0</v>
      </c>
      <c r="H7" s="478">
        <f>landbouw!H8</f>
        <v>0</v>
      </c>
      <c r="I7" s="478">
        <f>landbouw!I8</f>
        <v>0</v>
      </c>
      <c r="J7" s="478">
        <f>landbouw!J8</f>
        <v>11.936396775971748</v>
      </c>
      <c r="K7" s="478">
        <f>landbouw!K8</f>
        <v>0</v>
      </c>
      <c r="L7" s="478">
        <f>landbouw!L8</f>
        <v>0</v>
      </c>
      <c r="M7" s="478">
        <f>landbouw!M8</f>
        <v>0</v>
      </c>
      <c r="N7" s="478">
        <f>landbouw!N8</f>
        <v>0</v>
      </c>
      <c r="O7" s="478">
        <f>landbouw!O8</f>
        <v>0</v>
      </c>
      <c r="P7" s="479">
        <f>landbouw!P8</f>
        <v>0</v>
      </c>
      <c r="Q7" s="477">
        <f t="shared" si="0"/>
        <v>502.92305706314164</v>
      </c>
    </row>
    <row r="8" spans="1:17">
      <c r="A8" s="477" t="s">
        <v>635</v>
      </c>
      <c r="B8" s="478">
        <f>industrie!B18</f>
        <v>1758.98135</v>
      </c>
      <c r="C8" s="478">
        <f>industrie!C18</f>
        <v>0</v>
      </c>
      <c r="D8" s="478">
        <f>industrie!D18</f>
        <v>1330.9845252</v>
      </c>
      <c r="E8" s="478">
        <f>industrie!E18</f>
        <v>245.87157839263318</v>
      </c>
      <c r="F8" s="478">
        <f>industrie!F18</f>
        <v>820.10205462750423</v>
      </c>
      <c r="G8" s="478">
        <f>industrie!G18</f>
        <v>0</v>
      </c>
      <c r="H8" s="478">
        <f>industrie!H18</f>
        <v>0</v>
      </c>
      <c r="I8" s="478">
        <f>industrie!I18</f>
        <v>0</v>
      </c>
      <c r="J8" s="478">
        <f>industrie!J18</f>
        <v>0.7013774472750044</v>
      </c>
      <c r="K8" s="478">
        <f>industrie!K18</f>
        <v>0</v>
      </c>
      <c r="L8" s="478">
        <f>industrie!L18</f>
        <v>0</v>
      </c>
      <c r="M8" s="478">
        <f>industrie!M18</f>
        <v>0</v>
      </c>
      <c r="N8" s="478">
        <f>industrie!N18</f>
        <v>390.94035247735405</v>
      </c>
      <c r="O8" s="478">
        <f>industrie!O18</f>
        <v>0</v>
      </c>
      <c r="P8" s="479">
        <f>industrie!P18</f>
        <v>0</v>
      </c>
      <c r="Q8" s="477">
        <f t="shared" si="0"/>
        <v>4547.5812381447668</v>
      </c>
    </row>
    <row r="9" spans="1:17" s="483" customFormat="1">
      <c r="A9" s="481" t="s">
        <v>561</v>
      </c>
      <c r="B9" s="482">
        <f>transport!B14</f>
        <v>32.356815118251212</v>
      </c>
      <c r="C9" s="482">
        <f>transport!C14</f>
        <v>0</v>
      </c>
      <c r="D9" s="482">
        <f>transport!D14</f>
        <v>117.90801795090672</v>
      </c>
      <c r="E9" s="482">
        <f>transport!E14</f>
        <v>156.26819046386694</v>
      </c>
      <c r="F9" s="482">
        <f>transport!F14</f>
        <v>0</v>
      </c>
      <c r="G9" s="482">
        <f>transport!G14</f>
        <v>50002.738746447103</v>
      </c>
      <c r="H9" s="482">
        <f>transport!H14</f>
        <v>13258.618108811559</v>
      </c>
      <c r="I9" s="482">
        <f>transport!I14</f>
        <v>0</v>
      </c>
      <c r="J9" s="482">
        <f>transport!J14</f>
        <v>0</v>
      </c>
      <c r="K9" s="482">
        <f>transport!K14</f>
        <v>0</v>
      </c>
      <c r="L9" s="482">
        <f>transport!L14</f>
        <v>0</v>
      </c>
      <c r="M9" s="482">
        <f>transport!M14</f>
        <v>3314.9277108257161</v>
      </c>
      <c r="N9" s="482">
        <f>transport!N14</f>
        <v>0</v>
      </c>
      <c r="O9" s="482">
        <f>transport!O14</f>
        <v>0</v>
      </c>
      <c r="P9" s="482">
        <f>transport!P14</f>
        <v>0</v>
      </c>
      <c r="Q9" s="481">
        <f>SUM(B9:P9)</f>
        <v>66882.817589617407</v>
      </c>
    </row>
    <row r="10" spans="1:17">
      <c r="A10" s="477" t="s">
        <v>551</v>
      </c>
      <c r="B10" s="478">
        <f>transport!B54</f>
        <v>0</v>
      </c>
      <c r="C10" s="478">
        <f>transport!C54</f>
        <v>0</v>
      </c>
      <c r="D10" s="478">
        <f>transport!D54</f>
        <v>0</v>
      </c>
      <c r="E10" s="478">
        <f>transport!E54</f>
        <v>0</v>
      </c>
      <c r="F10" s="478">
        <f>transport!F54</f>
        <v>0</v>
      </c>
      <c r="G10" s="478">
        <f>transport!G54</f>
        <v>1169.2538412593133</v>
      </c>
      <c r="H10" s="478">
        <f>transport!H54</f>
        <v>0</v>
      </c>
      <c r="I10" s="478">
        <f>transport!I54</f>
        <v>0</v>
      </c>
      <c r="J10" s="478">
        <f>transport!J54</f>
        <v>0</v>
      </c>
      <c r="K10" s="478">
        <f>transport!K54</f>
        <v>0</v>
      </c>
      <c r="L10" s="478">
        <f>transport!L54</f>
        <v>0</v>
      </c>
      <c r="M10" s="478">
        <f>transport!M54</f>
        <v>66.408456423133799</v>
      </c>
      <c r="N10" s="478">
        <f>transport!N54</f>
        <v>0</v>
      </c>
      <c r="O10" s="478">
        <f>transport!O54</f>
        <v>0</v>
      </c>
      <c r="P10" s="479">
        <f>transport!P54</f>
        <v>0</v>
      </c>
      <c r="Q10" s="477">
        <f t="shared" si="0"/>
        <v>1235.6622976824472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47288.648177670606</v>
      </c>
      <c r="C14" s="488">
        <f t="shared" ref="C14:Q14" ca="1" si="1">SUM(C4:C13)</f>
        <v>1890</v>
      </c>
      <c r="D14" s="488">
        <f t="shared" ca="1" si="1"/>
        <v>79236.442435550911</v>
      </c>
      <c r="E14" s="488">
        <f t="shared" si="1"/>
        <v>2919.9172845276357</v>
      </c>
      <c r="F14" s="488">
        <f t="shared" ca="1" si="1"/>
        <v>31476.969979216952</v>
      </c>
      <c r="G14" s="488">
        <f t="shared" si="1"/>
        <v>51171.992587706416</v>
      </c>
      <c r="H14" s="488">
        <f t="shared" si="1"/>
        <v>13258.618108811559</v>
      </c>
      <c r="I14" s="488">
        <f t="shared" si="1"/>
        <v>0</v>
      </c>
      <c r="J14" s="488">
        <f t="shared" si="1"/>
        <v>12.659547607397579</v>
      </c>
      <c r="K14" s="488">
        <f t="shared" si="1"/>
        <v>0</v>
      </c>
      <c r="L14" s="488">
        <f t="shared" ca="1" si="1"/>
        <v>0</v>
      </c>
      <c r="M14" s="488">
        <f t="shared" si="1"/>
        <v>3381.33616724885</v>
      </c>
      <c r="N14" s="488">
        <f t="shared" ca="1" si="1"/>
        <v>9571.2142690754372</v>
      </c>
      <c r="O14" s="488">
        <f t="shared" si="1"/>
        <v>287.65333333333336</v>
      </c>
      <c r="P14" s="489">
        <f t="shared" si="1"/>
        <v>800.80000000000007</v>
      </c>
      <c r="Q14" s="489">
        <f t="shared" ca="1" si="1"/>
        <v>241296.25189074918</v>
      </c>
    </row>
    <row r="16" spans="1:17">
      <c r="A16" s="491" t="s">
        <v>556</v>
      </c>
      <c r="B16" s="841">
        <f ca="1">huishoudens!B10</f>
        <v>0.20362471538952878</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5411.9248598217955</v>
      </c>
      <c r="C21" s="478">
        <f t="shared" ref="C21:C30" ca="1" si="3">C4*$C$16</f>
        <v>0</v>
      </c>
      <c r="D21" s="478">
        <f t="shared" ref="D21:D30" si="4">D4*$D$16</f>
        <v>9350.8812350250009</v>
      </c>
      <c r="E21" s="478">
        <f t="shared" ref="E21:E30" si="5">E4*$E$16</f>
        <v>529.21324739204556</v>
      </c>
      <c r="F21" s="478">
        <f t="shared" ref="F21:F30" si="6">F4*$F$16</f>
        <v>7350.4042718887076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22642.423614127551</v>
      </c>
    </row>
    <row r="22" spans="1:17">
      <c r="A22" s="477" t="s">
        <v>156</v>
      </c>
      <c r="B22" s="478">
        <f t="shared" ca="1" si="2"/>
        <v>3657.2638062918263</v>
      </c>
      <c r="C22" s="478">
        <f t="shared" ca="1" si="3"/>
        <v>449.15294117647068</v>
      </c>
      <c r="D22" s="478">
        <f t="shared" ca="1" si="4"/>
        <v>6349.4883726918024</v>
      </c>
      <c r="E22" s="478">
        <f t="shared" si="5"/>
        <v>41.772530856705593</v>
      </c>
      <c r="F22" s="478">
        <f t="shared" ca="1" si="6"/>
        <v>743.33755542079996</v>
      </c>
      <c r="G22" s="478">
        <f t="shared" si="7"/>
        <v>0</v>
      </c>
      <c r="H22" s="478">
        <f t="shared" si="8"/>
        <v>0</v>
      </c>
      <c r="I22" s="478">
        <f t="shared" si="9"/>
        <v>0</v>
      </c>
      <c r="J22" s="478">
        <f t="shared" si="10"/>
        <v>7.7077779893929346E-3</v>
      </c>
      <c r="K22" s="478">
        <f t="shared" si="11"/>
        <v>0</v>
      </c>
      <c r="L22" s="478">
        <f t="shared" ca="1" si="12"/>
        <v>0</v>
      </c>
      <c r="M22" s="478">
        <f t="shared" si="13"/>
        <v>0</v>
      </c>
      <c r="N22" s="478">
        <f t="shared" ca="1" si="14"/>
        <v>0</v>
      </c>
      <c r="O22" s="478">
        <f t="shared" si="15"/>
        <v>0</v>
      </c>
      <c r="P22" s="479">
        <f t="shared" si="16"/>
        <v>0</v>
      </c>
      <c r="Q22" s="477">
        <f t="shared" ref="Q22:Q30" ca="1" si="17">SUM(B22:P22)</f>
        <v>11241.022914215595</v>
      </c>
    </row>
    <row r="23" spans="1:17">
      <c r="A23" s="477" t="s">
        <v>194</v>
      </c>
      <c r="B23" s="478">
        <f t="shared" ca="1" si="2"/>
        <v>178.41169950528194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178.41169950528194</v>
      </c>
    </row>
    <row r="24" spans="1:17">
      <c r="A24" s="477" t="s">
        <v>112</v>
      </c>
      <c r="B24" s="478">
        <f t="shared" ca="1" si="2"/>
        <v>16.776436676227885</v>
      </c>
      <c r="C24" s="478">
        <f t="shared" ca="1" si="3"/>
        <v>0</v>
      </c>
      <c r="D24" s="478">
        <f t="shared" si="4"/>
        <v>12.715470548000003</v>
      </c>
      <c r="E24" s="478">
        <f t="shared" si="5"/>
        <v>0.54971780859663355</v>
      </c>
      <c r="F24" s="478">
        <f t="shared" si="6"/>
        <v>91.641908555875688</v>
      </c>
      <c r="G24" s="478">
        <f t="shared" si="7"/>
        <v>0</v>
      </c>
      <c r="H24" s="478">
        <f t="shared" si="8"/>
        <v>0</v>
      </c>
      <c r="I24" s="478">
        <f t="shared" si="9"/>
        <v>0</v>
      </c>
      <c r="J24" s="478">
        <f t="shared" si="10"/>
        <v>4.2254844586939981</v>
      </c>
      <c r="K24" s="478">
        <f t="shared" si="11"/>
        <v>0</v>
      </c>
      <c r="L24" s="478">
        <f t="shared" si="12"/>
        <v>0</v>
      </c>
      <c r="M24" s="478">
        <f t="shared" si="13"/>
        <v>0</v>
      </c>
      <c r="N24" s="478">
        <f t="shared" si="14"/>
        <v>0</v>
      </c>
      <c r="O24" s="478">
        <f t="shared" si="15"/>
        <v>0</v>
      </c>
      <c r="P24" s="479">
        <f t="shared" si="16"/>
        <v>0</v>
      </c>
      <c r="Q24" s="477">
        <f t="shared" ca="1" si="17"/>
        <v>125.90901804739421</v>
      </c>
    </row>
    <row r="25" spans="1:17">
      <c r="A25" s="477" t="s">
        <v>635</v>
      </c>
      <c r="B25" s="478">
        <f t="shared" ca="1" si="2"/>
        <v>358.17207676923914</v>
      </c>
      <c r="C25" s="478">
        <f t="shared" ca="1" si="3"/>
        <v>0</v>
      </c>
      <c r="D25" s="478">
        <f t="shared" si="4"/>
        <v>268.85887409040004</v>
      </c>
      <c r="E25" s="478">
        <f t="shared" si="5"/>
        <v>55.812848295127736</v>
      </c>
      <c r="F25" s="478">
        <f t="shared" si="6"/>
        <v>218.96724858554364</v>
      </c>
      <c r="G25" s="478">
        <f t="shared" si="7"/>
        <v>0</v>
      </c>
      <c r="H25" s="478">
        <f t="shared" si="8"/>
        <v>0</v>
      </c>
      <c r="I25" s="478">
        <f t="shared" si="9"/>
        <v>0</v>
      </c>
      <c r="J25" s="478">
        <f t="shared" si="10"/>
        <v>0.24828761633535154</v>
      </c>
      <c r="K25" s="478">
        <f t="shared" si="11"/>
        <v>0</v>
      </c>
      <c r="L25" s="478">
        <f t="shared" si="12"/>
        <v>0</v>
      </c>
      <c r="M25" s="478">
        <f t="shared" si="13"/>
        <v>0</v>
      </c>
      <c r="N25" s="478">
        <f t="shared" si="14"/>
        <v>0</v>
      </c>
      <c r="O25" s="478">
        <f t="shared" si="15"/>
        <v>0</v>
      </c>
      <c r="P25" s="479">
        <f t="shared" si="16"/>
        <v>0</v>
      </c>
      <c r="Q25" s="477">
        <f t="shared" ca="1" si="17"/>
        <v>902.05933535664599</v>
      </c>
    </row>
    <row r="26" spans="1:17" s="483" customFormat="1">
      <c r="A26" s="481" t="s">
        <v>561</v>
      </c>
      <c r="B26" s="835">
        <f t="shared" ca="1" si="2"/>
        <v>6.5886472693655049</v>
      </c>
      <c r="C26" s="482">
        <f t="shared" ca="1" si="3"/>
        <v>0</v>
      </c>
      <c r="D26" s="482">
        <f t="shared" si="4"/>
        <v>23.817419626083161</v>
      </c>
      <c r="E26" s="482">
        <f t="shared" si="5"/>
        <v>35.472879235297796</v>
      </c>
      <c r="F26" s="482">
        <f t="shared" si="6"/>
        <v>0</v>
      </c>
      <c r="G26" s="482">
        <f t="shared" si="7"/>
        <v>13350.731245301376</v>
      </c>
      <c r="H26" s="482">
        <f t="shared" si="8"/>
        <v>3301.395909094078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16718.0061005262</v>
      </c>
    </row>
    <row r="27" spans="1:17">
      <c r="A27" s="477" t="s">
        <v>551</v>
      </c>
      <c r="B27" s="478">
        <f t="shared" ca="1" si="2"/>
        <v>0</v>
      </c>
      <c r="C27" s="478">
        <f t="shared" ca="1" si="3"/>
        <v>0</v>
      </c>
      <c r="D27" s="478">
        <f t="shared" si="4"/>
        <v>0</v>
      </c>
      <c r="E27" s="478">
        <f t="shared" si="5"/>
        <v>0</v>
      </c>
      <c r="F27" s="478">
        <f t="shared" si="6"/>
        <v>0</v>
      </c>
      <c r="G27" s="478">
        <f t="shared" si="7"/>
        <v>312.19077561623664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312.19077561623664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9629.1375263337359</v>
      </c>
      <c r="C31" s="488">
        <f t="shared" ca="1" si="18"/>
        <v>449.15294117647068</v>
      </c>
      <c r="D31" s="488">
        <f t="shared" ca="1" si="18"/>
        <v>16005.761371981285</v>
      </c>
      <c r="E31" s="488">
        <f t="shared" si="18"/>
        <v>662.82122358777326</v>
      </c>
      <c r="F31" s="488">
        <f t="shared" ca="1" si="18"/>
        <v>8404.3509844509263</v>
      </c>
      <c r="G31" s="488">
        <f t="shared" si="18"/>
        <v>13662.922020917613</v>
      </c>
      <c r="H31" s="488">
        <f t="shared" si="18"/>
        <v>3301.395909094078</v>
      </c>
      <c r="I31" s="488">
        <f t="shared" si="18"/>
        <v>0</v>
      </c>
      <c r="J31" s="488">
        <f t="shared" si="18"/>
        <v>4.4814798530187421</v>
      </c>
      <c r="K31" s="488">
        <f t="shared" si="18"/>
        <v>0</v>
      </c>
      <c r="L31" s="488">
        <f t="shared" ca="1" si="18"/>
        <v>0</v>
      </c>
      <c r="M31" s="488">
        <f t="shared" si="18"/>
        <v>0</v>
      </c>
      <c r="N31" s="488">
        <f t="shared" ca="1" si="18"/>
        <v>0</v>
      </c>
      <c r="O31" s="488">
        <f t="shared" si="18"/>
        <v>0</v>
      </c>
      <c r="P31" s="489">
        <f t="shared" si="18"/>
        <v>0</v>
      </c>
      <c r="Q31" s="489">
        <f t="shared" ca="1" si="18"/>
        <v>52120.023457394913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0.20362471538952878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0.20362471538952878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0.20362471538952878</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2018-09-06T12:49:08Z</dcterms:modified>
</cp:coreProperties>
</file>