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<sst xmlns="http://schemas.openxmlformats.org/spreadsheetml/2006/main" count="1914" uniqueCount="809">
  <si>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</si>
  <si>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</si>
  <si>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</si>
  <si>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</si>
  <si>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</si>
  <si>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</si>
  <si>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</si>
  <si>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</si>
  <si>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</si>
  <si>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</si>
  <si>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</si>
  <si>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</si>
  <si>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</si>
  <si>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</si>
  <si>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</si>
  <si>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</si>
  <si>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</si>
  <si>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</si>
  <si>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</si>
  <si>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</si>
  <si>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</si>
  <si>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</si>
  <si>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</si>
  <si>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</si>
  <si>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</si>
  <si>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</si>
  <si>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</si>
  <si>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</si>
  <si>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</si>
  <si>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</si>
  <si>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</si>
  <si>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</si>
  <si>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</si>
  <si>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</si>
  <si>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</si>
  <si>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</si>
  <si>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</si>
  <si>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</si>
  <si>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</si>
  <si>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</si>
  <si>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</si>
  <si>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</si>
  <si>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</si>
  <si>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</si>
  <si>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</si>
  <si>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</si>
  <si>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</si>
  <si>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</si>
  <si>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</si>
  <si>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</si>
  <si>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</si>
  <si>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</si>
  <si>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</si>
  <si>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</si>
  <si>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</si>
  <si>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</si>
  <si>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</si>
  <si>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</si>
  <si>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</si>
  <si>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</si>
  <si>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</si>
  <si>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</si>
  <si>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</si>
  <si>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</si>
  <si>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</si>
  <si>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</si>
  <si>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</si>
  <si>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</si>
  <si>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</si>
  <si>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</si>
  <si>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</si>
  <si>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</si>
  <si>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</si>
  <si>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</si>
  <si>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</si>
  <si>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</si>
  <si>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</si>
  <si>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</si>
  <si>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</si>
  <si>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</si>
  <si>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</si>
  <si>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</si>
  <si>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</si>
  <si>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</si>
  <si>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</si>
  <si>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</si>
  <si>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</si>
  <si>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</si>
  <si>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</si>
  <si>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</si>
  <si>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</si>
  <si>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</si>
  <si>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</si>
  <si>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</si>
  <si>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</si>
  <si>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</si>
  <si>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</si>
  <si>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</si>
  <si>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</si>
  <si>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</si>
  <si>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</si>
  <si>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</si>
  <si>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</si>
  <si>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</si>
  <si>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</si>
  <si>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</si>
  <si>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</si>
  <si>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</si>
  <si>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</si>
  <si>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</si>
  <si>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</si>
  <si>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</si>
  <si>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</si>
  <si>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</si>
  <si>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</si>
  <si>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</si>
  <si>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</si>
  <si>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</si>
  <si>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</si>
  <si>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</si>
  <si>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</si>
  <si>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</si>
  <si>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</si>
  <si>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</si>
  <si>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</si>
  <si>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</si>
  <si>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</si>
  <si>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</si>
  <si>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</si>
  <si>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</si>
  <si>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</si>
  <si>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</si>
  <si>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</si>
  <si>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</si>
  <si>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</si>
  <si>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</si>
  <si>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</si>
  <si>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</si>
  <si>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</si>
  <si>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</si>
  <si>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</si>
  <si>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</si>
  <si>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</si>
  <si>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</si>
  <si>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</si>
  <si>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</si>
  <si>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</si>
  <si>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</si>
  <si>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</si>
  <si>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</si>
  <si>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</si>
  <si>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</si>
  <si>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</si>
  <si>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</si>
  <si>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</si>
  <si>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</si>
  <si>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</si>
  <si>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</si>
  <si>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</si>
  <si>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</si>
  <si>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</si>
  <si>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</si>
  <si>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</si>
  <si>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</si>
  <si>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</si>
  <si>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</si>
  <si>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</si>
  <si>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</si>
  <si>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</si>
  <si>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</si>
  <si>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</si>
  <si>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</si>
  <si>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</si>
  <si>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</si>
  <si>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</si>
  <si>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</si>
  <si>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</si>
  <si>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</si>
  <si>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</si>
  <si>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</si>
  <si>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</si>
  <si>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</si>
  <si>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</si>
  <si>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</si>
  <si>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</si>
  <si>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</si>
  <si>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</si>
  <si>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</si>
  <si>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</si>
  <si>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</si>
  <si>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</si>
  <si>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</si>
  <si>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</si>
  <si>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</si>
  <si>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</si>
  <si>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</si>
  <si>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</si>
  <si>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</si>
  <si>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</si>
  <si>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</si>
  <si>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</si>
  <si>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</si>
  <si>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</si>
  <si>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</si>
  <si>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</si>
  <si>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</si>
  <si>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</si>
  <si>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</si>
  <si>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</si>
  <si>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</si>
  <si>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</si>
  <si>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</si>
  <si>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</si>
  <si>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</si>
  <si>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</si>
  <si>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</si>
  <si>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</si>
  <si>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</si>
  <si>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</si>
  <si>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</si>
  <si>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</si>
  <si>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</si>
  <si>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</si>
  <si>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</si>
  <si>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</si>
  <si>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</si>
  <si>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</si>
  <si>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</si>
  <si>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</si>
  <si>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</si>
  <si>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</si>
  <si>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</si>
  <si>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</si>
  <si>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</si>
  <si>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</si>
  <si>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</si>
  <si>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</si>
  <si>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</si>
  <si>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</si>
  <si>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</si>
  <si>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</si>
  <si>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</si>
  <si>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</si>
  <si>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</si>
  <si>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</si>
  <si>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</si>
  <si>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</si>
  <si>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</si>
  <si>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</si>
  <si>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</si>
  <si>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</si>
  <si>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</si>
  <si>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</si>
  <si>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</si>
  <si>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</si>
  <si>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</si>
  <si>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</si>
  <si>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</si>
  <si>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</si>
  <si>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</si>
  <si>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</si>
  <si>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</si>
  <si>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</si>
  <si>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</si>
  <si>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</si>
  <si>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</si>
  <si>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</si>
  <si>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</si>
  <si>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</si>
  <si>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</si>
  <si>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</si>
  <si>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</si>
  <si>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</si>
  <si>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</si>
  <si>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</si>
  <si>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</si>
  <si>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</si>
  <si>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</si>
  <si>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</si>
  <si>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</si>
  <si>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</si>
  <si>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</si>
  <si>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</si>
  <si>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</si>
  <si>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</si>
  <si>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</si>
  <si>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</si>
  <si>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</si>
  <si>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</si>
  <si>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</si>
  <si>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</si>
  <si>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</si>
  <si>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</si>
  <si>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</si>
  <si>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</si>
  <si>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</si>
  <si>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</si>
  <si>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</si>
  <si>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</si>
  <si>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</si>
  <si>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</si>
  <si>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</si>
  <si>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</si>
  <si>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</si>
  <si>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</si>
  <si>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</si>
  <si>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</si>
  <si>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</si>
  <si>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</si>
  <si>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</si>
  <si>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</si>
  <si>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</si>
  <si>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</si>
  <si>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</si>
  <si>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</si>
  <si>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</si>
  <si>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</si>
  <si>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</si>
  <si>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</si>
  <si>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</si>
  <si>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</si>
  <si>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</si>
  <si>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</si>
  <si>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</si>
  <si>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</si>
  <si>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</si>
  <si>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</si>
  <si>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</si>
  <si>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</si>
  <si>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</si>
  <si>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</si>
  <si>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</si>
  <si>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</si>
  <si>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</si>
  <si>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</si>
  <si>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</si>
  <si>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</si>
  <si>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</si>
  <si>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</si>
  <si>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</si>
  <si>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</si>
  <si>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</si>
  <si>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</si>
  <si>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</si>
  <si>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</si>
  <si>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</si>
  <si>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</si>
  <si>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</si>
  <si>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</si>
  <si>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</si>
  <si>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</si>
  <si>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</si>
  <si>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</si>
  <si>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</si>
  <si>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</si>
  <si>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</si>
  <si>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</si>
  <si>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</si>
  <si>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</si>
  <si>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</si>
  <si>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</si>
  <si>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</si>
  <si>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</si>
  <si>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</si>
  <si>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</si>
  <si>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</si>
  <si>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</si>
  <si>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</si>
  <si>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</si>
  <si>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</si>
  <si>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</si>
  <si>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</si>
  <si>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</si>
  <si>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</si>
  <si>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</si>
  <si>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</si>
  <si>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</si>
  <si>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</si>
  <si>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</si>
  <si>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</si>
  <si>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</si>
  <si>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</si>
  <si>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</si>
  <si>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</si>
  <si>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</si>
  <si>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</si>
  <si>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</si>
  <si>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</si>
  <si>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</si>
  <si>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</si>
  <si>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</si>
  <si>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</si>
  <si>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</si>
  <si>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</si>
  <si>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</si>
  <si>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</si>
  <si>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</si>
  <si>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</si>
  <si>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</si>
  <si>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</si>
  <si>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</si>
  <si>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</si>
  <si>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</si>
  <si>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</si>
  <si>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</si>
  <si>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</si>
  <si>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</si>
  <si>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</si>
  <si>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</si>
  <si>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</si>
  <si>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</si>
  <si>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</si>
  <si>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</si>
  <si>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</si>
  <si>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</si>
  <si>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</si>
  <si>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</si>
  <si>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</si>
  <si>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</si>
  <si>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</si>
  <si>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</si>
  <si>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</si>
  <si>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</si>
  <si>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</si>
  <si>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</si>
  <si>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</si>
  <si>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</si>
  <si>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</si>
  <si>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</si>
  <si>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</si>
  <si>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</si>
  <si>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</si>
  <si>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</si>
  <si>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</si>
  <si>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</si>
  <si>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</si>
  <si>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</si>
  <si>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</si>
  <si>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</si>
  <si>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</si>
  <si>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</si>
  <si>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</si>
  <si>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</si>
  <si>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</si>
  <si>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</si>
  <si>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</si>
  <si>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</si>
  <si>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</si>
  <si>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</si>
  <si>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</si>
  <si>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</si>
  <si>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</si>
  <si>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</si>
  <si>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</si>
  <si>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</si>
  <si>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</si>
  <si>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</si>
  <si>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</si>
  <si>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</si>
  <si>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</si>
  <si>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</si>
  <si>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</si>
  <si>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</si>
  <si>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</si>
  <si>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</si>
  <si>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</si>
  <si>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</si>
  <si>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</si>
  <si>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</si>
  <si>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</si>
  <si>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</si>
  <si>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</si>
  <si>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</si>
  <si>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</si>
  <si>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</si>
  <si>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</si>
  <si>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</si>
  <si>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</si>
  <si>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</si>
  <si>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</si>
  <si>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</si>
  <si>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</si>
  <si>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</si>
  <si>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</si>
  <si>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</si>
  <si>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</si>
  <si>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</si>
  <si>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</si>
  <si>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</si>
  <si>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</si>
  <si>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</si>
  <si>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</si>
  <si>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</si>
  <si>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</si>
  <si>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</si>
  <si>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</si>
  <si>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</si>
  <si>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</si>
  <si>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</si>
  <si>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</si>
  <si>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</si>
  <si>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</si>
  <si>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</si>
  <si>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</si>
  <si>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</si>
  <si>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</si>
  <si>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</si>
  <si>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</si>
  <si>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</si>
  <si>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</si>
  <si>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</si>
  <si>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</si>
  <si>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</si>
  <si>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</si>
  <si>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</si>
  <si>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</si>
  <si>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</si>
  <si>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</si>
  <si>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</si>
  <si>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</si>
  <si>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</si>
  <si>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</si>
  <si>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</si>
  <si>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</si>
  <si>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</si>
  <si>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</si>
  <si>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</si>
  <si>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</si>
  <si>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</si>
  <si>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</si>
  <si>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</si>
  <si>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</si>
  <si>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</si>
  <si>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</si>
  <si>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</si>
  <si>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</si>
  <si>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</si>
  <si>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</si>
  <si>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</si>
  <si>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</si>
  <si>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</si>
  <si>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</si>
  <si>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</si>
  <si>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</si>
  <si>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</si>
  <si>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</si>
  <si>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</si>
  <si>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</si>
  <si>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</si>
  <si>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</si>
  <si>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</si>
  <si>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</si>
  <si>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</si>
  <si>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</si>
  <si>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</si>
  <si>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</si>
  <si>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</si>
  <si>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</si>
  <si>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</si>
  <si>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</si>
  <si>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</si>
  <si>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</si>
  <si>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</si>
  <si>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</si>
  <si>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</si>
  <si>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</si>
  <si>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</si>
  <si>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</si>
  <si>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</si>
  <si>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</si>
  <si>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</si>
  <si>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</si>
  <si>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</si>
  <si>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</si>
  <si>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</si>
  <si>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</si>
  <si>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</si>
  <si>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</si>
  <si>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</si>
  <si>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</si>
  <si>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</si>
  <si>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</si>
  <si>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</si>
  <si>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</si>
  <si>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</si>
  <si>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</si>
  <si>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</si>
  <si>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</si>
  <si>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</si>
  <si>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</si>
  <si>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</si>
  <si>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</si>
  <si>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</si>
  <si>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</si>
  <si>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</si>
  <si>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</si>
  <si>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</si>
  <si>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</si>
  <si>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</si>
  <si>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</si>
  <si>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</si>
  <si>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</si>
  <si>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</si>
  <si>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</si>
  <si>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</si>
  <si>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</si>
  <si>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</si>
  <si>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</si>
  <si>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</si>
  <si>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</si>
  <si>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</si>
  <si>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</si>
  <si>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</si>
  <si>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</si>
  <si>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</si>
  <si>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</si>
  <si>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</si>
  <si>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</si>
  <si>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</si>
  <si>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</si>
  <si>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</si>
  <si>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</si>
  <si>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</si>
  <si>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</si>
  <si>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</si>
  <si>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</si>
  <si>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</si>
  <si>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</si>
  <si>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</si>
  <si>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</si>
  <si>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</si>
  <si>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</si>
  <si>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</si>
  <si>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</si>
  <si>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</si>
  <si>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</si>
  <si>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</si>
  <si>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</si>
  <si>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</si>
  <si>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</si>
  <si>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</si>
  <si>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</si>
  <si>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</si>
  <si>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</si>
  <si>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</si>
  <si>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</si>
  <si>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</si>
  <si>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</si>
  <si>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</si>
  <si>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</si>
  <si>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</si>
  <si>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</si>
  <si>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</si>
  <si>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</si>
  <si>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</si>
  <si>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</si>
  <si>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</si>
  <si>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</si>
  <si>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</si>
  <si>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</si>
  <si>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</si>
  <si>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</si>
  <si>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</si>
  <si>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</si>
  <si>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</si>
  <si>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</si>
  <si>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</si>
  <si>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</si>
  <si>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</si>
  <si>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</si>
  <si>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</si>
  <si>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</si>
  <si>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</si>
  <si>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</si>
  <si>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</si>
  <si>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</si>
  <si>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</si>
  <si>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</si>
  <si>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</si>
  <si>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</si>
  <si>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</si>
  <si>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</si>
  <si>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</si>
  <si>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</si>
  <si>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</si>
  <si>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</si>
  <si>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</si>
  <si>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</si>
  <si>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</si>
  <si>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</si>
  <si>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</si>
  <si>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</si>
  <si>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</si>
  <si>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</si>
  <si>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</si>
  <si>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</si>
  <si>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</si>
  <si>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</si>
  <si>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</si>
  <si>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</si>
  <si>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</si>
  <si>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</si>
  <si>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</si>
  <si>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</si>
  <si>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</si>
  <si>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</si>
  <si>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</si>
  <si>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</si>
  <si>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</si>
  <si>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</si>
  <si>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</si>
  <si>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</si>
  <si>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</si>
  <si>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</si>
  <si>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</si>
  <si>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</si>
  <si>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</si>
  <si>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</si>
  <si>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</si>
  <si>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</si>
  <si>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</si>
  <si>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</si>
  <si>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</si>
  <si>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</si>
  <si>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</si>
  <si>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</si>
  <si>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</si>
  <si>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</si>
  <si>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</si>
  <si>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</si>
  <si>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</si>
  <si>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</si>
  <si>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</si>
  <si>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</si>
  <si>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</si>
  <si>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</si>
  <si>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</si>
  <si>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</si>
  <si>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</si>
  <si>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</si>
  <si>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</si>
  <si>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</si>
  <si>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</si>
  <si>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</si>
  <si>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</si>
  <si>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</si>
  <si>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</si>
  <si>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</si>
  <si>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</si>
  <si>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</si>
  <si>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</si>
  <si>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</si>
  <si>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</si>
  <si>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</si>
  <si>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</si>
  <si>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</si>
  <si>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</si>
  <si>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</si>
  <si>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</si>
  <si>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</si>
  <si>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</si>
  <si>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</si>
  <si>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</si>
  <si>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</si>
  <si>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</si>
  <si>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</si>
  <si>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</si>
  <si>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</si>
  <si>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</si>
  <si>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</si>
  <si>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</si>
  <si>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</si>
  <si>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</si>
  <si>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</si>
  <si>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</si>
  <si>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</si>
  <si>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</si>
  <si>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</si>
  <si>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</si>
  <si>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</si>
  <si>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</si>
  <si>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</si>
  <si>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</si>
  <si>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</si>
  <si>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</si>
  <si>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</si>
  <si>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</si>
  <si>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</si>
  <si>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</si>
  <si>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</si>
  <si>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</si>
  <si>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</si>
  <si>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</si>
  <si>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</si>
  <si>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</si>
  <si>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</si>
  <si>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</si>
  <si>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</si>
  <si>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</si>
  <si>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</si>
  <si>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</si>
  <si>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71017</t>
  </si>
  <si>
    <t>GINGELOM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</si>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</sst>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91825.010207532076</c:v>
                </c:pt>
                <c:pt idx="1">
                  <c:v>15920.35293837845</c:v>
                </c:pt>
                <c:pt idx="2">
                  <c:v>474.916</c:v>
                </c:pt>
                <c:pt idx="3">
                  <c:v>7723.6092163878511</c:v>
                </c:pt>
                <c:pt idx="4">
                  <c:v>2202.308433513208</c:v>
                </c:pt>
                <c:pt idx="5">
                  <c:v>77710.408345096017</c:v>
                </c:pt>
                <c:pt idx="6">
                  <c:v>918.48224036191209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91825.010207532076</c:v>
                </c:pt>
                <c:pt idx="1">
                  <c:v>15920.35293837845</c:v>
                </c:pt>
                <c:pt idx="2">
                  <c:v>474.916</c:v>
                </c:pt>
                <c:pt idx="3">
                  <c:v>7723.6092163878511</c:v>
                </c:pt>
                <c:pt idx="4">
                  <c:v>2202.308433513208</c:v>
                </c:pt>
                <c:pt idx="5">
                  <c:v>77710.408345096017</c:v>
                </c:pt>
                <c:pt idx="6">
                  <c:v>918.48224036191209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16887.726143494638</c:v>
                </c:pt>
                <c:pt idx="1">
                  <c:v>1824.3605151963466</c:v>
                </c:pt>
                <c:pt idx="2">
                  <c:v>0</c:v>
                </c:pt>
                <c:pt idx="3">
                  <c:v>1690.7956733837984</c:v>
                </c:pt>
                <c:pt idx="4">
                  <c:v>252.45798845998422</c:v>
                </c:pt>
                <c:pt idx="5">
                  <c:v>19441.750385605417</c:v>
                </c:pt>
                <c:pt idx="6">
                  <c:v>232.05505545173946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0064"/>
        <c:axId val="156930048"/>
      </c:barChart>
      <c:catAx>
        <c:axId val="156920064"/>
        <c:scaling>
          <c:orientation val="minMax"/>
        </c:scaling>
        <c:axPos val="b"/>
        <c:numFmt formatCode="General" sourceLinked="0"/>
        <c:tickLblPos val="nextTo"/>
        <c:crossAx val="156930048"/>
        <c:crosses val="autoZero"/>
        <c:auto val="1"/>
        <c:lblAlgn val="ctr"/>
        <c:lblOffset val="100"/>
      </c:catAx>
      <c:valAx>
        <c:axId val="156930048"/>
        <c:scaling>
          <c:orientation val="minMax"/>
        </c:scaling>
        <c:axPos val="l"/>
        <c:majorGridlines/>
        <c:numFmt formatCode="#,##0" sourceLinked="1"/>
        <c:tickLblPos val="nextTo"/>
        <c:crossAx val="15692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16887.726143494638</c:v>
                </c:pt>
                <c:pt idx="1">
                  <c:v>1824.3605151963466</c:v>
                </c:pt>
                <c:pt idx="2">
                  <c:v>0</c:v>
                </c:pt>
                <c:pt idx="3">
                  <c:v>1690.7956733837984</c:v>
                </c:pt>
                <c:pt idx="4">
                  <c:v>252.45798845998422</c:v>
                </c:pt>
                <c:pt idx="5">
                  <c:v>19441.750385605417</c:v>
                </c:pt>
                <c:pt idx="6">
                  <c:v>232.05505545173946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3376</v>
      </c>
      <c r="C9" s="342">
        <v>3466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4543.87</v>
      </c>
    </row>
    <row r="15" spans="1:6">
      <c r="A15" s="348" t="s">
        <v>184</v>
      </c>
      <c r="B15" s="334">
        <v>1</v>
      </c>
    </row>
    <row r="16" spans="1:6">
      <c r="A16" s="348" t="s">
        <v>6</v>
      </c>
      <c r="B16" s="334">
        <v>0</v>
      </c>
    </row>
    <row r="17" spans="1:6">
      <c r="A17" s="348" t="s">
        <v>7</v>
      </c>
      <c r="B17" s="334">
        <v>62</v>
      </c>
    </row>
    <row r="18" spans="1:6">
      <c r="A18" s="348" t="s">
        <v>8</v>
      </c>
      <c r="B18" s="334">
        <v>105</v>
      </c>
    </row>
    <row r="19" spans="1:6">
      <c r="A19" s="348" t="s">
        <v>9</v>
      </c>
      <c r="B19" s="334">
        <v>246</v>
      </c>
    </row>
    <row r="20" spans="1:6">
      <c r="A20" s="348" t="s">
        <v>10</v>
      </c>
      <c r="B20" s="334">
        <v>96</v>
      </c>
    </row>
    <row r="21" spans="1:6">
      <c r="A21" s="348" t="s">
        <v>11</v>
      </c>
      <c r="B21" s="334">
        <v>674</v>
      </c>
    </row>
    <row r="22" spans="1:6">
      <c r="A22" s="348" t="s">
        <v>12</v>
      </c>
      <c r="B22" s="334">
        <v>1689</v>
      </c>
    </row>
    <row r="23" spans="1:6">
      <c r="A23" s="348" t="s">
        <v>13</v>
      </c>
      <c r="B23" s="334">
        <v>34</v>
      </c>
    </row>
    <row r="24" spans="1:6">
      <c r="A24" s="348" t="s">
        <v>14</v>
      </c>
      <c r="B24" s="334">
        <v>2</v>
      </c>
    </row>
    <row r="25" spans="1:6">
      <c r="A25" s="348" t="s">
        <v>15</v>
      </c>
      <c r="B25" s="334">
        <v>147</v>
      </c>
    </row>
    <row r="26" spans="1:6">
      <c r="A26" s="348" t="s">
        <v>16</v>
      </c>
      <c r="B26" s="334">
        <v>55</v>
      </c>
    </row>
    <row r="27" spans="1:6">
      <c r="A27" s="348" t="s">
        <v>17</v>
      </c>
      <c r="B27" s="334">
        <v>2</v>
      </c>
    </row>
    <row r="28" spans="1:6" s="356" customFormat="1">
      <c r="A28" s="355" t="s">
        <v>18</v>
      </c>
      <c r="B28" s="355">
        <v>6250</v>
      </c>
    </row>
    <row r="29" spans="1:6">
      <c r="A29" s="355" t="s">
        <v>744</v>
      </c>
      <c r="B29" s="355">
        <v>23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7416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798</v>
      </c>
      <c r="D39" s="334">
        <v>13121435.5</v>
      </c>
      <c r="E39" s="334">
        <v>3393</v>
      </c>
      <c r="F39" s="334">
        <v>12764820.550000001</v>
      </c>
    </row>
    <row r="40" spans="1:6">
      <c r="A40" s="348" t="s">
        <v>30</v>
      </c>
      <c r="B40" s="348" t="s">
        <v>29</v>
      </c>
      <c r="C40" s="334">
        <v>0</v>
      </c>
      <c r="D40" s="334">
        <v>0</v>
      </c>
      <c r="E40" s="334">
        <v>0</v>
      </c>
      <c r="F40" s="334">
        <v>0</v>
      </c>
    </row>
    <row r="41" spans="1:6">
      <c r="A41" s="348" t="s">
        <v>32</v>
      </c>
      <c r="B41" s="348" t="s">
        <v>33</v>
      </c>
      <c r="C41" s="334">
        <v>8</v>
      </c>
      <c r="D41" s="334">
        <v>185185.6</v>
      </c>
      <c r="E41" s="334">
        <v>41</v>
      </c>
      <c r="F41" s="334">
        <v>768733.65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12255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3</v>
      </c>
      <c r="F49" s="334">
        <v>3278</v>
      </c>
    </row>
    <row r="50" spans="1:6">
      <c r="A50" s="348" t="s">
        <v>32</v>
      </c>
      <c r="B50" s="348" t="s">
        <v>41</v>
      </c>
      <c r="C50" s="334">
        <v>0</v>
      </c>
      <c r="D50" s="334">
        <v>0</v>
      </c>
      <c r="E50" s="334">
        <v>5</v>
      </c>
      <c r="F50" s="334">
        <v>134478</v>
      </c>
    </row>
    <row r="51" spans="1:6">
      <c r="A51" s="348" t="s">
        <v>42</v>
      </c>
      <c r="B51" s="348" t="s">
        <v>43</v>
      </c>
      <c r="C51" s="334">
        <v>5</v>
      </c>
      <c r="D51" s="334">
        <v>114648</v>
      </c>
      <c r="E51" s="334">
        <v>65</v>
      </c>
      <c r="F51" s="334">
        <v>1426945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474916</v>
      </c>
    </row>
    <row r="55" spans="1:6">
      <c r="A55" s="348" t="s">
        <v>46</v>
      </c>
      <c r="B55" s="348" t="s">
        <v>29</v>
      </c>
      <c r="C55" s="334">
        <v>0</v>
      </c>
      <c r="D55" s="334">
        <v>0</v>
      </c>
      <c r="E55" s="334">
        <v>0</v>
      </c>
      <c r="F55" s="334">
        <v>0</v>
      </c>
    </row>
    <row r="56" spans="1:6">
      <c r="A56" s="348" t="s">
        <v>48</v>
      </c>
      <c r="B56" s="348" t="s">
        <v>29</v>
      </c>
      <c r="C56" s="334">
        <v>5</v>
      </c>
      <c r="D56" s="334">
        <v>135186</v>
      </c>
      <c r="E56" s="334">
        <v>6</v>
      </c>
      <c r="F56" s="334">
        <v>570979</v>
      </c>
    </row>
    <row r="57" spans="1:6">
      <c r="A57" s="348" t="s">
        <v>49</v>
      </c>
      <c r="B57" s="348" t="s">
        <v>50</v>
      </c>
      <c r="C57" s="334">
        <v>7</v>
      </c>
      <c r="D57" s="334">
        <v>7002683</v>
      </c>
      <c r="E57" s="334">
        <v>34</v>
      </c>
      <c r="F57" s="334">
        <v>1716144</v>
      </c>
    </row>
    <row r="58" spans="1:6">
      <c r="A58" s="348" t="s">
        <v>49</v>
      </c>
      <c r="B58" s="348" t="s">
        <v>51</v>
      </c>
      <c r="C58" s="334">
        <v>4</v>
      </c>
      <c r="D58" s="334">
        <v>67862</v>
      </c>
      <c r="E58" s="334">
        <v>17</v>
      </c>
      <c r="F58" s="334">
        <v>302849</v>
      </c>
    </row>
    <row r="59" spans="1:6">
      <c r="A59" s="348" t="s">
        <v>49</v>
      </c>
      <c r="B59" s="348" t="s">
        <v>52</v>
      </c>
      <c r="C59" s="334">
        <v>8</v>
      </c>
      <c r="D59" s="334">
        <v>512319</v>
      </c>
      <c r="E59" s="334">
        <v>57</v>
      </c>
      <c r="F59" s="334">
        <v>1888427</v>
      </c>
    </row>
    <row r="60" spans="1:6">
      <c r="A60" s="348" t="s">
        <v>49</v>
      </c>
      <c r="B60" s="348" t="s">
        <v>53</v>
      </c>
      <c r="C60" s="334">
        <v>7</v>
      </c>
      <c r="D60" s="334">
        <v>226867</v>
      </c>
      <c r="E60" s="334">
        <v>29</v>
      </c>
      <c r="F60" s="334">
        <v>539057</v>
      </c>
    </row>
    <row r="61" spans="1:6">
      <c r="A61" s="348" t="s">
        <v>49</v>
      </c>
      <c r="B61" s="348" t="s">
        <v>54</v>
      </c>
      <c r="C61" s="334">
        <v>18</v>
      </c>
      <c r="D61" s="334">
        <v>468793</v>
      </c>
      <c r="E61" s="334">
        <v>109</v>
      </c>
      <c r="F61" s="334">
        <v>1161989.9000000001</v>
      </c>
    </row>
    <row r="62" spans="1:6">
      <c r="A62" s="348" t="s">
        <v>49</v>
      </c>
      <c r="B62" s="348" t="s">
        <v>55</v>
      </c>
      <c r="C62" s="334">
        <v>0</v>
      </c>
      <c r="D62" s="334">
        <v>0</v>
      </c>
      <c r="E62" s="334">
        <v>5</v>
      </c>
      <c r="F62" s="334">
        <v>86286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40722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36250041</v>
      </c>
      <c r="E73" s="476">
        <v>36822567.957545571</v>
      </c>
    </row>
    <row r="74" spans="1:6">
      <c r="A74" s="348" t="s">
        <v>64</v>
      </c>
      <c r="B74" s="348" t="s">
        <v>657</v>
      </c>
      <c r="C74" s="1213" t="s">
        <v>659</v>
      </c>
      <c r="D74" s="476">
        <v>2222086.1330222962</v>
      </c>
      <c r="E74" s="476">
        <v>2274651.9721211689</v>
      </c>
    </row>
    <row r="75" spans="1:6">
      <c r="A75" s="348" t="s">
        <v>65</v>
      </c>
      <c r="B75" s="348" t="s">
        <v>656</v>
      </c>
      <c r="C75" s="1213" t="s">
        <v>660</v>
      </c>
      <c r="D75" s="476">
        <v>11854572</v>
      </c>
      <c r="E75" s="476">
        <v>12038951.974400703</v>
      </c>
    </row>
    <row r="76" spans="1:6">
      <c r="A76" s="348" t="s">
        <v>65</v>
      </c>
      <c r="B76" s="348" t="s">
        <v>657</v>
      </c>
      <c r="C76" s="1213" t="s">
        <v>661</v>
      </c>
      <c r="D76" s="476">
        <v>4430</v>
      </c>
      <c r="E76" s="476">
        <v>4503.7724978743508</v>
      </c>
    </row>
    <row r="77" spans="1:6">
      <c r="A77" s="348" t="s">
        <v>66</v>
      </c>
      <c r="B77" s="348" t="s">
        <v>656</v>
      </c>
      <c r="C77" s="1213" t="s">
        <v>662</v>
      </c>
      <c r="D77" s="476">
        <v>38779071</v>
      </c>
      <c r="E77" s="476">
        <v>40290259.784739763</v>
      </c>
    </row>
    <row r="78" spans="1:6">
      <c r="A78" s="341" t="s">
        <v>66</v>
      </c>
      <c r="B78" s="341" t="s">
        <v>657</v>
      </c>
      <c r="C78" s="341" t="s">
        <v>663</v>
      </c>
      <c r="D78" s="1214">
        <v>5200818</v>
      </c>
      <c r="E78" s="1214">
        <v>5070742.5881827502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249107.73395540754</v>
      </c>
      <c r="C83" s="476">
        <v>254724.8457274524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24112.949651951967</v>
      </c>
    </row>
    <row r="91" spans="1:6">
      <c r="A91" s="348" t="s">
        <v>68</v>
      </c>
      <c r="B91" s="334">
        <v>2266.9294118210237</v>
      </c>
    </row>
    <row r="92" spans="1:6">
      <c r="A92" s="341" t="s">
        <v>69</v>
      </c>
      <c r="B92" s="342">
        <v>1037.4339279249314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22</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1</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23581.288840993169</v>
      </c>
      <c r="C3" s="43" t="s">
        <v>170</v>
      </c>
      <c r="D3" s="43"/>
      <c r="E3" s="154"/>
      <c r="F3" s="43"/>
      <c r="G3" s="43"/>
      <c r="H3" s="43"/>
      <c r="I3" s="43"/>
      <c r="J3" s="43"/>
      <c r="K3" s="96"/>
    </row>
    <row r="4" spans="1:11">
      <c r="A4" s="383" t="s">
        <v>171</v>
      </c>
      <c r="B4" s="49">
        <f>IF(ISERROR('SEAP template'!B69),0,'SEAP template'!B69)</f>
        <v>27417.312991697923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474.916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12764.82055</v>
      </c>
      <c r="C5" s="17">
        <f>IF(ISERROR('Eigen informatie GS &amp; warmtenet'!B57),0,'Eigen informatie GS &amp; warmtenet'!B57)</f>
        <v>0</v>
      </c>
      <c r="D5" s="30">
        <f>(SUM(HH_hh_gas_kWh,HH_rest_gas_kWh)/1000)*0.902</f>
        <v>11835.534820999999</v>
      </c>
      <c r="E5" s="17">
        <f>B46*B57</f>
        <v>5149.0921463233926</v>
      </c>
      <c r="F5" s="17">
        <f>B51*B62</f>
        <v>48571.603396770552</v>
      </c>
      <c r="G5" s="18"/>
      <c r="H5" s="17"/>
      <c r="I5" s="17"/>
      <c r="J5" s="17">
        <f>B50*B61+C50*C61</f>
        <v>1015.4974166652194</v>
      </c>
      <c r="K5" s="17"/>
      <c r="L5" s="17"/>
      <c r="M5" s="17"/>
      <c r="N5" s="17">
        <f>B48*B59+C48*C59</f>
        <v>9290.0257982852218</v>
      </c>
      <c r="O5" s="17">
        <f>B69*B70*B71</f>
        <v>168.84</v>
      </c>
      <c r="P5" s="17">
        <f>B77*B78*B79/1000-B77*B78*B79/1000/B80</f>
        <v>762.66666666666674</v>
      </c>
    </row>
    <row r="6" spans="1:16">
      <c r="A6" s="16" t="s">
        <v>621</v>
      </c>
      <c r="B6" s="843">
        <f>kWh_PV_kleiner_dan_10kW</f>
        <v>2266.9294118210237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15031.749961821024</v>
      </c>
      <c r="C8" s="21">
        <f>C5</f>
        <v>0</v>
      </c>
      <c r="D8" s="21">
        <f>D5</f>
        <v>11835.534820999999</v>
      </c>
      <c r="E8" s="21">
        <f>E5</f>
        <v>5149.0921463233926</v>
      </c>
      <c r="F8" s="21">
        <f>F5</f>
        <v>48571.603396770552</v>
      </c>
      <c r="G8" s="21"/>
      <c r="H8" s="21"/>
      <c r="I8" s="21"/>
      <c r="J8" s="21">
        <f>J5</f>
        <v>1015.4974166652194</v>
      </c>
      <c r="K8" s="21"/>
      <c r="L8" s="21">
        <f>L5</f>
        <v>0</v>
      </c>
      <c r="M8" s="21">
        <f>M5</f>
        <v>0</v>
      </c>
      <c r="N8" s="21">
        <f>N5</f>
        <v>9290.0257982852218</v>
      </c>
      <c r="O8" s="21">
        <f>O5</f>
        <v>168.84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2390.7780338419998</v>
      </c>
      <c r="E12" s="23">
        <f>E10*E8</f>
        <v>1168.8439172154101</v>
      </c>
      <c r="F12" s="23">
        <f>F10*F8</f>
        <v>12968.618106937738</v>
      </c>
      <c r="G12" s="23"/>
      <c r="H12" s="23"/>
      <c r="I12" s="23"/>
      <c r="J12" s="23">
        <f>J10*J8</f>
        <v>359.48608549948761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3376</v>
      </c>
      <c r="C28" s="36"/>
      <c r="D28" s="228"/>
    </row>
    <row r="29" spans="1:7" s="15" customFormat="1">
      <c r="A29" s="230" t="s">
        <v>795</v>
      </c>
      <c r="B29" s="37">
        <f>SUM(HH_hh_gas_aantal,HH_rest_gas_aantal)</f>
        <v>798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798</v>
      </c>
      <c r="C32" s="167">
        <f>IF(ISERROR(B32/SUM($B$32,$B$34,$B$35,$B$36,$B$38,$B$39)*100),0,B32/SUM($B$32,$B$34,$B$35,$B$36,$B$38,$B$39)*100)</f>
        <v>23.920863309352519</v>
      </c>
      <c r="D32" s="233"/>
      <c r="G32" s="15"/>
    </row>
    <row r="33" spans="1:7">
      <c r="A33" s="171" t="s">
        <v>72</v>
      </c>
      <c r="B33" s="34" t="s">
        <v>111</v>
      </c>
      <c r="C33" s="167"/>
      <c r="D33" s="233"/>
      <c r="G33" s="15"/>
    </row>
    <row r="34" spans="1:7">
      <c r="A34" s="171" t="s">
        <v>73</v>
      </c>
      <c r="B34" s="33">
        <f>IF((($B$28-$B$32-$B$39-$B$77-$B$38)*C20/100)&lt;0,0,($B$28-$B$32-$B$39-$B$77-$B$38)*C20/100)</f>
        <v>243.1864406779662</v>
      </c>
      <c r="C34" s="167">
        <f>IF(ISERROR(B34/SUM($B$32,$B$34,$B$35,$B$36,$B$38,$B$39)*100),0,B34/SUM($B$32,$B$34,$B$35,$B$36,$B$38,$B$39)*100)</f>
        <v>7.2897614112100175</v>
      </c>
      <c r="D34" s="233"/>
      <c r="G34" s="15"/>
    </row>
    <row r="35" spans="1:7">
      <c r="A35" s="171" t="s">
        <v>74</v>
      </c>
      <c r="B35" s="33">
        <f>IF((($B$28-$B$32-$B$39-$B$77-$B$38)*C21/100)&lt;0,0,($B$28-$B$32-$B$39-$B$77-$B$38)*C21/100)</f>
        <v>261.06779661016958</v>
      </c>
      <c r="C35" s="167">
        <f>IF(ISERROR(B35/SUM($B$32,$B$34,$B$35,$B$36,$B$38,$B$39)*100),0,B35/SUM($B$32,$B$34,$B$35,$B$36,$B$38,$B$39)*100)</f>
        <v>7.825773279681342</v>
      </c>
      <c r="D35" s="233"/>
      <c r="G35" s="15"/>
    </row>
    <row r="36" spans="1:7">
      <c r="A36" s="171" t="s">
        <v>75</v>
      </c>
      <c r="B36" s="33">
        <f>IF((($B$28-$B$32-$B$39-$B$77-$B$38)*C22/100)&lt;0,0,($B$28-$B$32-$B$39-$B$77-$B$38)*C22/100)</f>
        <v>128.74576271186447</v>
      </c>
      <c r="C36" s="167">
        <f>IF(ISERROR(B36/SUM($B$32,$B$34,$B$35,$B$36,$B$38,$B$39)*100),0,B36/SUM($B$32,$B$34,$B$35,$B$36,$B$38,$B$39)*100)</f>
        <v>3.859285452993539</v>
      </c>
      <c r="D36" s="233"/>
      <c r="G36" s="15"/>
    </row>
    <row r="37" spans="1:7">
      <c r="A37" s="171" t="s">
        <v>76</v>
      </c>
      <c r="B37" s="34" t="s">
        <v>111</v>
      </c>
      <c r="C37" s="167"/>
      <c r="D37" s="173"/>
      <c r="G37" s="15"/>
    </row>
    <row r="38" spans="1:7">
      <c r="A38" s="171" t="s">
        <v>77</v>
      </c>
      <c r="B38" s="33">
        <f>IF((B24-(B29-B18)*0.1)&lt;0,0,B24-(B29-B18)*0.1)</f>
        <v>28.799999999999997</v>
      </c>
      <c r="C38" s="167">
        <f>IF(ISERROR(B38/SUM($B$32,$B$34,$B$35,$B$36,$B$38,$B$39)*100),0,B38/SUM($B$32,$B$34,$B$35,$B$36,$B$38,$B$39)*100)</f>
        <v>0.86330935251798557</v>
      </c>
      <c r="D38" s="234"/>
      <c r="G38" s="15"/>
    </row>
    <row r="39" spans="1:7">
      <c r="A39" s="171" t="s">
        <v>78</v>
      </c>
      <c r="B39" s="33">
        <f>IF((B25-(B29-B18))&lt;0,0,B25-(B29-B18)*0.9)</f>
        <v>1876.1999999999998</v>
      </c>
      <c r="C39" s="167">
        <f>IF(ISERROR(B39/SUM($B$32,$B$34,$B$35,$B$36,$B$38,$B$39)*100),0,B39/SUM($B$32,$B$34,$B$35,$B$36,$B$38,$B$39)*100)</f>
        <v>56.241007194244595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798</v>
      </c>
      <c r="C44" s="34" t="s">
        <v>111</v>
      </c>
      <c r="D44" s="174"/>
    </row>
    <row r="45" spans="1:7">
      <c r="A45" s="171" t="s">
        <v>72</v>
      </c>
      <c r="B45" s="33" t="str">
        <f t="shared" si="0"/>
        <v>-</v>
      </c>
      <c r="C45" s="34" t="s">
        <v>111</v>
      </c>
      <c r="D45" s="174"/>
    </row>
    <row r="46" spans="1:7">
      <c r="A46" s="171" t="s">
        <v>73</v>
      </c>
      <c r="B46" s="33">
        <f t="shared" si="0"/>
        <v>243.1864406779662</v>
      </c>
      <c r="C46" s="34" t="s">
        <v>111</v>
      </c>
      <c r="D46" s="174"/>
    </row>
    <row r="47" spans="1:7">
      <c r="A47" s="171" t="s">
        <v>74</v>
      </c>
      <c r="B47" s="33">
        <f t="shared" si="0"/>
        <v>261.06779661016958</v>
      </c>
      <c r="C47" s="34" t="s">
        <v>111</v>
      </c>
      <c r="D47" s="174"/>
    </row>
    <row r="48" spans="1:7">
      <c r="A48" s="171" t="s">
        <v>75</v>
      </c>
      <c r="B48" s="33">
        <f t="shared" si="0"/>
        <v>128.74576271186447</v>
      </c>
      <c r="C48" s="33">
        <f>B48*10</f>
        <v>1287.4576271186447</v>
      </c>
      <c r="D48" s="234"/>
    </row>
    <row r="49" spans="1:6">
      <c r="A49" s="171" t="s">
        <v>76</v>
      </c>
      <c r="B49" s="33" t="str">
        <f t="shared" si="0"/>
        <v>-</v>
      </c>
      <c r="C49" s="34" t="s">
        <v>111</v>
      </c>
      <c r="D49" s="234"/>
    </row>
    <row r="50" spans="1:6">
      <c r="A50" s="171" t="s">
        <v>77</v>
      </c>
      <c r="B50" s="33">
        <f t="shared" si="0"/>
        <v>28.799999999999997</v>
      </c>
      <c r="C50" s="33">
        <f>B50*2</f>
        <v>57.599999999999994</v>
      </c>
      <c r="D50" s="234"/>
    </row>
    <row r="51" spans="1:6">
      <c r="A51" s="171" t="s">
        <v>78</v>
      </c>
      <c r="B51" s="33">
        <f t="shared" si="0"/>
        <v>1876.1999999999998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5694.7529000000004</v>
      </c>
      <c r="C5" s="17">
        <f>IF(ISERROR('Eigen informatie GS &amp; warmtenet'!B58),0,'Eigen informatie GS &amp; warmtenet'!B58)</f>
        <v>0</v>
      </c>
      <c r="D5" s="30">
        <f>SUM(D6:D12)</f>
        <v>7467.2286480000002</v>
      </c>
      <c r="E5" s="17">
        <f>SUM(E6:E12)</f>
        <v>79.58596426013213</v>
      </c>
      <c r="F5" s="17">
        <f>SUM(F6:F12)</f>
        <v>1115.7345604665184</v>
      </c>
      <c r="G5" s="18"/>
      <c r="H5" s="17"/>
      <c r="I5" s="17"/>
      <c r="J5" s="17">
        <f>SUM(J6:J12)</f>
        <v>3.725075914126838E-2</v>
      </c>
      <c r="K5" s="17"/>
      <c r="L5" s="17"/>
      <c r="M5" s="17"/>
      <c r="N5" s="17">
        <f>SUM(N6:N12)</f>
        <v>1466.1169482259897</v>
      </c>
      <c r="O5" s="17">
        <f>B38*B39*B40</f>
        <v>1.5633333333333335</v>
      </c>
      <c r="P5" s="17">
        <f>B46*B47*B48/1000-B46*B47*B48/1000/B49</f>
        <v>95.333333333333343</v>
      </c>
      <c r="R5" s="32"/>
    </row>
    <row r="6" spans="1:18">
      <c r="A6" s="32" t="s">
        <v>54</v>
      </c>
      <c r="B6" s="37">
        <f>B26</f>
        <v>1161.9899</v>
      </c>
      <c r="C6" s="33"/>
      <c r="D6" s="37">
        <f>IF(ISERROR(TER_kantoor_gas_kWh/1000),0,TER_kantoor_gas_kWh/1000)*0.902</f>
        <v>422.85128600000002</v>
      </c>
      <c r="E6" s="33">
        <f>$C$26*'E Balans VL '!I12/100/3.6*1000000</f>
        <v>7.2829662214138873E-3</v>
      </c>
      <c r="F6" s="33">
        <f>$C$26*('E Balans VL '!L12+'E Balans VL '!N12)/100/3.6*1000000</f>
        <v>174.61461287549437</v>
      </c>
      <c r="G6" s="34"/>
      <c r="H6" s="33"/>
      <c r="I6" s="33"/>
      <c r="J6" s="33">
        <f>$C$26*('E Balans VL '!D12+'E Balans VL '!E12)/100/3.6*1000000</f>
        <v>0</v>
      </c>
      <c r="K6" s="33"/>
      <c r="L6" s="33"/>
      <c r="M6" s="33"/>
      <c r="N6" s="33">
        <f>$C$26*'E Balans VL '!Y12/100/3.6*1000000</f>
        <v>1.1112710554401715</v>
      </c>
      <c r="O6" s="33"/>
      <c r="P6" s="33"/>
      <c r="R6" s="32"/>
    </row>
    <row r="7" spans="1:18">
      <c r="A7" s="32" t="s">
        <v>53</v>
      </c>
      <c r="B7" s="37">
        <f t="shared" ref="B7:B12" si="0">B27</f>
        <v>539.05700000000002</v>
      </c>
      <c r="C7" s="33"/>
      <c r="D7" s="37">
        <f>IF(ISERROR(TER_horeca_gas_kWh/1000),0,TER_horeca_gas_kWh/1000)*0.902</f>
        <v>204.63403399999999</v>
      </c>
      <c r="E7" s="33">
        <f>$C$27*'E Balans VL '!I9/100/3.6*1000000</f>
        <v>7.7192064502444948</v>
      </c>
      <c r="F7" s="33">
        <f>$C$27*('E Balans VL '!L9+'E Balans VL '!N9)/100/3.6*1000000</f>
        <v>68.26239498480308</v>
      </c>
      <c r="G7" s="34"/>
      <c r="H7" s="33"/>
      <c r="I7" s="33"/>
      <c r="J7" s="33">
        <f>$C$27*('E Balans VL '!D9+'E Balans VL '!E9)/100/3.6*1000000</f>
        <v>0</v>
      </c>
      <c r="K7" s="33"/>
      <c r="L7" s="33"/>
      <c r="M7" s="33"/>
      <c r="N7" s="33">
        <f>$C$27*'E Balans VL '!Y9/100/3.6*1000000</f>
        <v>0.15496700231337046</v>
      </c>
      <c r="O7" s="33"/>
      <c r="P7" s="33"/>
      <c r="R7" s="32"/>
    </row>
    <row r="8" spans="1:18">
      <c r="A8" s="6" t="s">
        <v>52</v>
      </c>
      <c r="B8" s="37">
        <f t="shared" si="0"/>
        <v>1888.4269999999999</v>
      </c>
      <c r="C8" s="33"/>
      <c r="D8" s="37">
        <f>IF(ISERROR(TER_handel_gas_kWh/1000),0,TER_handel_gas_kWh/1000)*0.902</f>
        <v>462.111738</v>
      </c>
      <c r="E8" s="33">
        <f>$C$28*'E Balans VL '!I13/100/3.6*1000000</f>
        <v>68.493014419615321</v>
      </c>
      <c r="F8" s="33">
        <f>$C$28*('E Balans VL '!L13+'E Balans VL '!N13)/100/3.6*1000000</f>
        <v>363.73016173908445</v>
      </c>
      <c r="G8" s="34"/>
      <c r="H8" s="33"/>
      <c r="I8" s="33"/>
      <c r="J8" s="33">
        <f>$C$28*('E Balans VL '!D13+'E Balans VL '!E13)/100/3.6*1000000</f>
        <v>0</v>
      </c>
      <c r="K8" s="33"/>
      <c r="L8" s="33"/>
      <c r="M8" s="33"/>
      <c r="N8" s="33">
        <f>$C$28*'E Balans VL '!Y13/100/3.6*1000000</f>
        <v>2.6159059026742386</v>
      </c>
      <c r="O8" s="33"/>
      <c r="P8" s="33"/>
      <c r="R8" s="32"/>
    </row>
    <row r="9" spans="1:18">
      <c r="A9" s="32" t="s">
        <v>51</v>
      </c>
      <c r="B9" s="37">
        <f t="shared" si="0"/>
        <v>302.84899999999999</v>
      </c>
      <c r="C9" s="33"/>
      <c r="D9" s="37">
        <f>IF(ISERROR(TER_gezond_gas_kWh/1000),0,TER_gezond_gas_kWh/1000)*0.902</f>
        <v>61.211523999999997</v>
      </c>
      <c r="E9" s="33">
        <f>$C$29*'E Balans VL '!I10/100/3.6*1000000</f>
        <v>1.8961337493683346E-2</v>
      </c>
      <c r="F9" s="33">
        <f>$C$29*('E Balans VL '!L10+'E Balans VL '!N10)/100/3.6*1000000</f>
        <v>44.989141037390048</v>
      </c>
      <c r="G9" s="34"/>
      <c r="H9" s="33"/>
      <c r="I9" s="33"/>
      <c r="J9" s="33">
        <f>$C$29*('E Balans VL '!D10+'E Balans VL '!E10)/100/3.6*1000000</f>
        <v>0</v>
      </c>
      <c r="K9" s="33"/>
      <c r="L9" s="33"/>
      <c r="M9" s="33"/>
      <c r="N9" s="33">
        <f>$C$29*'E Balans VL '!Y10/100/3.6*1000000</f>
        <v>4.6844975544305631</v>
      </c>
      <c r="O9" s="33"/>
      <c r="P9" s="33"/>
      <c r="R9" s="32"/>
    </row>
    <row r="10" spans="1:18">
      <c r="A10" s="32" t="s">
        <v>50</v>
      </c>
      <c r="B10" s="37">
        <f t="shared" si="0"/>
        <v>1716.144</v>
      </c>
      <c r="C10" s="33"/>
      <c r="D10" s="37">
        <f>IF(ISERROR(TER_ander_gas_kWh/1000),0,TER_ander_gas_kWh/1000)*0.902</f>
        <v>6316.4200660000006</v>
      </c>
      <c r="E10" s="33">
        <f>$C$30*'E Balans VL '!I14/100/3.6*1000000</f>
        <v>2.0455823233754806</v>
      </c>
      <c r="F10" s="33">
        <f>$C$30*('E Balans VL '!L14+'E Balans VL '!N14)/100/3.6*1000000</f>
        <v>449.01956416988753</v>
      </c>
      <c r="G10" s="34"/>
      <c r="H10" s="33"/>
      <c r="I10" s="33"/>
      <c r="J10" s="33">
        <f>$C$30*('E Balans VL '!D14+'E Balans VL '!E14)/100/3.6*1000000</f>
        <v>3.725075914126838E-2</v>
      </c>
      <c r="K10" s="33"/>
      <c r="L10" s="33"/>
      <c r="M10" s="33"/>
      <c r="N10" s="33">
        <f>$C$30*'E Balans VL '!Y14/100/3.6*1000000</f>
        <v>1457.30749134742</v>
      </c>
      <c r="O10" s="33"/>
      <c r="P10" s="33"/>
      <c r="R10" s="32"/>
    </row>
    <row r="11" spans="1:18">
      <c r="A11" s="32" t="s">
        <v>55</v>
      </c>
      <c r="B11" s="37">
        <f t="shared" si="0"/>
        <v>86.286000000000001</v>
      </c>
      <c r="C11" s="33"/>
      <c r="D11" s="37">
        <f>IF(ISERROR(TER_onderwijs_gas_kWh/1000),0,TER_onderwijs_gas_kWh/1000)*0.902</f>
        <v>0</v>
      </c>
      <c r="E11" s="33">
        <f>$C$31*'E Balans VL '!I11/100/3.6*1000000</f>
        <v>1.301916763181737</v>
      </c>
      <c r="F11" s="33">
        <f>$C$31*('E Balans VL '!L11+'E Balans VL '!N11)/100/3.6*1000000</f>
        <v>15.11868565985872</v>
      </c>
      <c r="G11" s="34"/>
      <c r="H11" s="33"/>
      <c r="I11" s="33"/>
      <c r="J11" s="33">
        <f>$C$31*('E Balans VL '!D11+'E Balans VL '!E11)/100/3.6*1000000</f>
        <v>0</v>
      </c>
      <c r="K11" s="33"/>
      <c r="L11" s="33"/>
      <c r="M11" s="33"/>
      <c r="N11" s="33">
        <f>$C$31*'E Balans VL '!Y11/100/3.6*1000000</f>
        <v>0.24281536371152618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5694.7529000000004</v>
      </c>
      <c r="C16" s="21">
        <f t="shared" ca="1" si="1"/>
        <v>0</v>
      </c>
      <c r="D16" s="21">
        <f t="shared" ca="1" si="1"/>
        <v>7467.2286480000002</v>
      </c>
      <c r="E16" s="21">
        <f t="shared" si="1"/>
        <v>79.58596426013213</v>
      </c>
      <c r="F16" s="21">
        <f t="shared" ca="1" si="1"/>
        <v>1115.7345604665184</v>
      </c>
      <c r="G16" s="21">
        <f t="shared" si="1"/>
        <v>0</v>
      </c>
      <c r="H16" s="21">
        <f t="shared" si="1"/>
        <v>0</v>
      </c>
      <c r="I16" s="21">
        <f t="shared" si="1"/>
        <v>0</v>
      </c>
      <c r="J16" s="21">
        <f t="shared" si="1"/>
        <v>3.725075914126838E-2</v>
      </c>
      <c r="K16" s="21">
        <f t="shared" si="1"/>
        <v>0</v>
      </c>
      <c r="L16" s="21">
        <f t="shared" ca="1" si="1"/>
        <v>0</v>
      </c>
      <c r="M16" s="21">
        <f t="shared" si="1"/>
        <v>0</v>
      </c>
      <c r="N16" s="21">
        <f t="shared" ca="1" si="1"/>
        <v>1466.1169482259897</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1508.3801868960002</v>
      </c>
      <c r="E20" s="23">
        <f t="shared" si="2"/>
        <v>18.066013887049994</v>
      </c>
      <c r="F20" s="23">
        <f t="shared" ca="1" si="2"/>
        <v>297.9011276445604</v>
      </c>
      <c r="G20" s="23">
        <f t="shared" si="2"/>
        <v>0</v>
      </c>
      <c r="H20" s="23">
        <f t="shared" si="2"/>
        <v>0</v>
      </c>
      <c r="I20" s="23">
        <f t="shared" si="2"/>
        <v>0</v>
      </c>
      <c r="J20" s="23">
        <f t="shared" si="2"/>
        <v>1.3186768736009005E-2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1161.9899</v>
      </c>
      <c r="C26" s="39">
        <f>IF(ISERROR(B26*3.6/1000000/'E Balans VL '!Z12*100),0,B26*3.6/1000000/'E Balans VL '!Z12*100)</f>
        <v>2.4562625745312452E-2</v>
      </c>
      <c r="D26" s="237" t="s">
        <v>754</v>
      </c>
      <c r="F26" s="6"/>
    </row>
    <row r="27" spans="1:18">
      <c r="A27" s="231" t="s">
        <v>53</v>
      </c>
      <c r="B27" s="33">
        <f>IF(ISERROR(TER_horeca_ele_kWh/1000),0,TER_horeca_ele_kWh/1000)</f>
        <v>539.05700000000002</v>
      </c>
      <c r="C27" s="39">
        <f>IF(ISERROR(B27*3.6/1000000/'E Balans VL '!Z9*100),0,B27*3.6/1000000/'E Balans VL '!Z9*100)</f>
        <v>4.2493662393198933E-2</v>
      </c>
      <c r="D27" s="237" t="s">
        <v>754</v>
      </c>
      <c r="F27" s="6"/>
    </row>
    <row r="28" spans="1:18">
      <c r="A28" s="171" t="s">
        <v>52</v>
      </c>
      <c r="B28" s="33">
        <f>IF(ISERROR(TER_handel_ele_kWh/1000),0,TER_handel_ele_kWh/1000)</f>
        <v>1888.4269999999999</v>
      </c>
      <c r="C28" s="39">
        <f>IF(ISERROR(B28*3.6/1000000/'E Balans VL '!Z13*100),0,B28*3.6/1000000/'E Balans VL '!Z13*100)</f>
        <v>5.480978164007929E-2</v>
      </c>
      <c r="D28" s="237" t="s">
        <v>754</v>
      </c>
      <c r="F28" s="6"/>
    </row>
    <row r="29" spans="1:18">
      <c r="A29" s="231" t="s">
        <v>51</v>
      </c>
      <c r="B29" s="33">
        <f>IF(ISERROR(TER_gezond_ele_kWh/1000),0,TER_gezond_ele_kWh/1000)</f>
        <v>302.84899999999999</v>
      </c>
      <c r="C29" s="39">
        <f>IF(ISERROR(B29*3.6/1000000/'E Balans VL '!Z10*100),0,B29*3.6/1000000/'E Balans VL '!Z10*100)</f>
        <v>3.1894972611845658E-2</v>
      </c>
      <c r="D29" s="237" t="s">
        <v>754</v>
      </c>
      <c r="F29" s="6"/>
    </row>
    <row r="30" spans="1:18">
      <c r="A30" s="231" t="s">
        <v>50</v>
      </c>
      <c r="B30" s="33">
        <f>IF(ISERROR(TER_ander_ele_kWh/1000),0,TER_ander_ele_kWh/1000)</f>
        <v>1716.144</v>
      </c>
      <c r="C30" s="39">
        <f>IF(ISERROR(B30*3.6/1000000/'E Balans VL '!Z14*100),0,B30*3.6/1000000/'E Balans VL '!Z14*100)</f>
        <v>0.12658315418462263</v>
      </c>
      <c r="D30" s="237" t="s">
        <v>754</v>
      </c>
      <c r="F30" s="6"/>
    </row>
    <row r="31" spans="1:18">
      <c r="A31" s="231" t="s">
        <v>55</v>
      </c>
      <c r="B31" s="33">
        <f>IF(ISERROR(TER_onderwijs_ele_kWh/1000),0,TER_onderwijs_ele_kWh/1000)</f>
        <v>86.286000000000001</v>
      </c>
      <c r="C31" s="39">
        <f>IF(ISERROR(B31*3.6/1000000/'E Balans VL '!Z11*100),0,B31*3.6/1000000/'E Balans VL '!Z11*100)</f>
        <v>2.1428855674274303E-2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918.74465000000009</v>
      </c>
      <c r="C5" s="17">
        <f>IF(ISERROR('Eigen informatie GS &amp; warmtenet'!B59),0,'Eigen informatie GS &amp; warmtenet'!B59)</f>
        <v>0</v>
      </c>
      <c r="D5" s="30">
        <f>SUM(D6:D15)</f>
        <v>167.03741120000001</v>
      </c>
      <c r="E5" s="17">
        <f>SUM(E6:E15)</f>
        <v>225.12270993449403</v>
      </c>
      <c r="F5" s="17">
        <f>SUM(F6:F15)</f>
        <v>627.76620315525861</v>
      </c>
      <c r="G5" s="18"/>
      <c r="H5" s="17"/>
      <c r="I5" s="17"/>
      <c r="J5" s="17">
        <f>SUM(J6:J15)</f>
        <v>0</v>
      </c>
      <c r="K5" s="17"/>
      <c r="L5" s="17"/>
      <c r="M5" s="17"/>
      <c r="N5" s="17">
        <f>SUM(N6:N15)</f>
        <v>263.63745922345561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12.255000000000001</v>
      </c>
      <c r="C8" s="33"/>
      <c r="D8" s="37">
        <f>IF( ISERROR(IND_metaal_Gas_kWH/1000),0,IND_metaal_Gas_kWH/1000)*0.902</f>
        <v>0</v>
      </c>
      <c r="E8" s="33">
        <f>C30*'E Balans VL '!I18/100/3.6*1000000</f>
        <v>0.11267288900843937</v>
      </c>
      <c r="F8" s="33">
        <f>C30*'E Balans VL '!L18/100/3.6*1000000+C30*'E Balans VL '!N18/100/3.6*1000000</f>
        <v>1.1491109897493319</v>
      </c>
      <c r="G8" s="34"/>
      <c r="H8" s="33"/>
      <c r="I8" s="33"/>
      <c r="J8" s="40">
        <f>C30*'E Balans VL '!D18/100/3.6*1000000+C30*'E Balans VL '!E18/100/3.6*1000000</f>
        <v>0</v>
      </c>
      <c r="K8" s="33"/>
      <c r="L8" s="33"/>
      <c r="M8" s="33"/>
      <c r="N8" s="33">
        <f>C30*'E Balans VL '!Y18/100/3.6*1000000</f>
        <v>0.17483782724034302</v>
      </c>
      <c r="O8" s="33"/>
      <c r="P8" s="33"/>
      <c r="R8" s="32"/>
    </row>
    <row r="9" spans="1:18">
      <c r="A9" s="6" t="s">
        <v>33</v>
      </c>
      <c r="B9" s="37">
        <f t="shared" si="0"/>
        <v>768.73365000000001</v>
      </c>
      <c r="C9" s="33"/>
      <c r="D9" s="37">
        <f>IF( ISERROR(IND_andere_gas_kWh/1000),0,IND_andere_gas_kWh/1000)*0.902</f>
        <v>167.03741120000001</v>
      </c>
      <c r="E9" s="33">
        <f>C31*'E Balans VL '!I19/100/3.6*1000000</f>
        <v>224.71581137399741</v>
      </c>
      <c r="F9" s="33">
        <f>C31*'E Balans VL '!L19/100/3.6*1000000+C31*'E Balans VL '!N19/100/3.6*1000000</f>
        <v>617.73567556566616</v>
      </c>
      <c r="G9" s="34"/>
      <c r="H9" s="33"/>
      <c r="I9" s="33"/>
      <c r="J9" s="40">
        <f>C31*'E Balans VL '!D19/100/3.6*1000000+C31*'E Balans VL '!E19/100/3.6*1000000</f>
        <v>0</v>
      </c>
      <c r="K9" s="33"/>
      <c r="L9" s="33"/>
      <c r="M9" s="33"/>
      <c r="N9" s="33">
        <f>C31*'E Balans VL '!Y19/100/3.6*1000000</f>
        <v>254.00152017362581</v>
      </c>
      <c r="O9" s="33"/>
      <c r="P9" s="33"/>
      <c r="R9" s="32"/>
    </row>
    <row r="10" spans="1:18">
      <c r="A10" s="6" t="s">
        <v>41</v>
      </c>
      <c r="B10" s="37">
        <f t="shared" si="0"/>
        <v>134.47800000000001</v>
      </c>
      <c r="C10" s="33"/>
      <c r="D10" s="37">
        <f>IF( ISERROR(IND_voed_gas_kWh/1000),0,IND_voed_gas_kWh/1000)*0.902</f>
        <v>0</v>
      </c>
      <c r="E10" s="33">
        <f>C32*'E Balans VL '!I20/100/3.6*1000000</f>
        <v>0.28449029410608578</v>
      </c>
      <c r="F10" s="33">
        <f>C32*'E Balans VL '!L20/100/3.6*1000000+C32*'E Balans VL '!N20/100/3.6*1000000</f>
        <v>8.5502486052488251</v>
      </c>
      <c r="G10" s="34"/>
      <c r="H10" s="33"/>
      <c r="I10" s="33"/>
      <c r="J10" s="40">
        <f>C32*'E Balans VL '!D20/100/3.6*1000000+C32*'E Balans VL '!E20/100/3.6*1000000</f>
        <v>0</v>
      </c>
      <c r="K10" s="33"/>
      <c r="L10" s="33"/>
      <c r="M10" s="33"/>
      <c r="N10" s="33">
        <f>C32*'E Balans VL '!Y20/100/3.6*1000000</f>
        <v>9.2803090613301897</v>
      </c>
      <c r="O10" s="33"/>
      <c r="P10" s="33"/>
      <c r="R10" s="32"/>
    </row>
    <row r="11" spans="1:18">
      <c r="A11" s="6" t="s">
        <v>40</v>
      </c>
      <c r="B11" s="37">
        <f t="shared" si="0"/>
        <v>3.278</v>
      </c>
      <c r="C11" s="33"/>
      <c r="D11" s="37">
        <f>IF( ISERROR(IND_textiel_gas_kWh/1000),0,IND_textiel_gas_kWh/1000)*0.902</f>
        <v>0</v>
      </c>
      <c r="E11" s="33">
        <f>C33*'E Balans VL '!I21/100/3.6*1000000</f>
        <v>9.7353773820688001E-3</v>
      </c>
      <c r="F11" s="33">
        <f>C33*'E Balans VL '!L21/100/3.6*1000000+C33*'E Balans VL '!N21/100/3.6*1000000</f>
        <v>0.33116799459425716</v>
      </c>
      <c r="G11" s="34"/>
      <c r="H11" s="33"/>
      <c r="I11" s="33"/>
      <c r="J11" s="40">
        <f>C33*'E Balans VL '!D21/100/3.6*1000000+C33*'E Balans VL '!E21/100/3.6*1000000</f>
        <v>0</v>
      </c>
      <c r="K11" s="33"/>
      <c r="L11" s="33"/>
      <c r="M11" s="33"/>
      <c r="N11" s="33">
        <f>C33*'E Balans VL '!Y21/100/3.6*1000000</f>
        <v>0.18079216125923567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918.74465000000009</v>
      </c>
      <c r="C18" s="21">
        <f>C5+C16</f>
        <v>0</v>
      </c>
      <c r="D18" s="21">
        <f>MAX((D5+D16),0)</f>
        <v>167.03741120000001</v>
      </c>
      <c r="E18" s="21">
        <f>MAX((E5+E16),0)</f>
        <v>225.12270993449403</v>
      </c>
      <c r="F18" s="21">
        <f>MAX((F5+F16),0)</f>
        <v>627.76620315525861</v>
      </c>
      <c r="G18" s="21"/>
      <c r="H18" s="21"/>
      <c r="I18" s="21"/>
      <c r="J18" s="21">
        <f>MAX((J5+J16),0)</f>
        <v>0</v>
      </c>
      <c r="K18" s="21"/>
      <c r="L18" s="21">
        <f>MAX((L5+L16),0)</f>
        <v>0</v>
      </c>
      <c r="M18" s="21"/>
      <c r="N18" s="21">
        <f>MAX((N5+N16),0)</f>
        <v>263.63745922345561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33.741557062400005</v>
      </c>
      <c r="E22" s="23">
        <f>E18*E20</f>
        <v>51.102855155130143</v>
      </c>
      <c r="F22" s="23">
        <f>F18*F20</f>
        <v>167.61357624245406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12.255000000000001</v>
      </c>
      <c r="C30" s="39">
        <f>IF(ISERROR(B30*3.6/1000000/'E Balans VL '!Z18*100),0,B30*3.6/1000000/'E Balans VL '!Z18*100)</f>
        <v>6.9452227387527352E-4</v>
      </c>
      <c r="D30" s="237" t="s">
        <v>754</v>
      </c>
    </row>
    <row r="31" spans="1:18">
      <c r="A31" s="6" t="s">
        <v>33</v>
      </c>
      <c r="B31" s="37">
        <f>IF( ISERROR(IND_ander_ele_kWh/1000),0,IND_ander_ele_kWh/1000)</f>
        <v>768.73365000000001</v>
      </c>
      <c r="C31" s="39">
        <f>IF(ISERROR(B31*3.6/1000000/'E Balans VL '!Z19*100),0,B31*3.6/1000000/'E Balans VL '!Z19*100)</f>
        <v>3.4866557412792973E-2</v>
      </c>
      <c r="D31" s="237" t="s">
        <v>754</v>
      </c>
    </row>
    <row r="32" spans="1:18">
      <c r="A32" s="171" t="s">
        <v>41</v>
      </c>
      <c r="B32" s="37">
        <f>IF( ISERROR(IND_voed_ele_kWh/1000),0,IND_voed_ele_kWh/1000)</f>
        <v>134.47800000000001</v>
      </c>
      <c r="C32" s="39">
        <f>IF(ISERROR(B32*3.6/1000000/'E Balans VL '!Z20*100),0,B32*3.6/1000000/'E Balans VL '!Z20*100)</f>
        <v>4.1600150185739405E-3</v>
      </c>
      <c r="D32" s="237" t="s">
        <v>754</v>
      </c>
    </row>
    <row r="33" spans="1:5">
      <c r="A33" s="171" t="s">
        <v>40</v>
      </c>
      <c r="B33" s="37">
        <f>IF( ISERROR(IND_textiel_ele_kWh/1000),0,IND_textiel_ele_kWh/1000)</f>
        <v>3.278</v>
      </c>
      <c r="C33" s="39">
        <f>IF(ISERROR(B33*3.6/1000000/'E Balans VL '!Z21*100),0,B33*3.6/1000000/'E Balans VL '!Z21*100)</f>
        <v>4.2741476317463187E-4</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1426.9449999999999</v>
      </c>
      <c r="C5" s="17">
        <f>'Eigen informatie GS &amp; warmtenet'!B60</f>
        <v>0</v>
      </c>
      <c r="D5" s="30">
        <f>IF(ISERROR(SUM(LB_lb_gas_kWh,LB_rest_gas_kWh,onbekend_gas_kWh)/1000),0,SUM(LB_lb_gas_kWh,LB_rest_gas_kWh,onbekend_gas_kWh)/1000)*0.902</f>
        <v>103.412496</v>
      </c>
      <c r="E5" s="17">
        <f>B17*'E Balans VL '!I25/3.6*1000000/100</f>
        <v>41.942271943082268</v>
      </c>
      <c r="F5" s="17">
        <f>B17*('E Balans VL '!L25/3.6*1000000+'E Balans VL '!N25/3.6*1000000)/100</f>
        <v>5944.5757619394226</v>
      </c>
      <c r="G5" s="18"/>
      <c r="H5" s="17"/>
      <c r="I5" s="17"/>
      <c r="J5" s="17">
        <f>('E Balans VL '!D25+'E Balans VL '!E25)/3.6*1000000*landbouw!B17/100</f>
        <v>206.73368650534667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1426.9449999999999</v>
      </c>
      <c r="C8" s="21">
        <f>C5+C6</f>
        <v>0</v>
      </c>
      <c r="D8" s="21">
        <f>MAX((D5+D6),0)</f>
        <v>103.412496</v>
      </c>
      <c r="E8" s="21">
        <f>MAX((E5+E6),0)</f>
        <v>41.942271943082268</v>
      </c>
      <c r="F8" s="21">
        <f>MAX((F5+F6),0)</f>
        <v>5944.5757619394226</v>
      </c>
      <c r="G8" s="21"/>
      <c r="H8" s="21"/>
      <c r="I8" s="21"/>
      <c r="J8" s="21">
        <f>MAX((J5+J6),0)</f>
        <v>206.73368650534667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20.889324192000004</v>
      </c>
      <c r="E12" s="23">
        <f>E8*E10</f>
        <v>9.5208957310796745</v>
      </c>
      <c r="F12" s="23">
        <f>F8*F10</f>
        <v>1587.201728437826</v>
      </c>
      <c r="G12" s="23"/>
      <c r="H12" s="23"/>
      <c r="I12" s="23"/>
      <c r="J12" s="23">
        <f>J8*J10</f>
        <v>73.183725022892716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0.20248797240340588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30.497585919502221</v>
      </c>
      <c r="C26" s="247">
        <f>B26*'GWP N2O_CH4'!B5</f>
        <v>640.44930430954662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13.393712919939786</v>
      </c>
      <c r="C27" s="247">
        <f>B27*'GWP N2O_CH4'!B5</f>
        <v>281.26797131873548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0.53969531398710846</v>
      </c>
      <c r="C28" s="247">
        <f>B28*'GWP N2O_CH4'!B4</f>
        <v>167.30554733600363</v>
      </c>
      <c r="D28" s="50"/>
    </row>
    <row r="29" spans="1:4">
      <c r="A29" s="41" t="s">
        <v>277</v>
      </c>
      <c r="B29" s="247">
        <f>B34*'ha_N2O bodem landbouw'!B4</f>
        <v>29.56351049827742</v>
      </c>
      <c r="C29" s="247">
        <f>B29*'GWP N2O_CH4'!B4</f>
        <v>9164.6882544660002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6.7462912153173696E-3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1.2304918501971658E-4</v>
      </c>
      <c r="C5" s="463" t="s">
        <v>211</v>
      </c>
      <c r="D5" s="448">
        <f>SUM(D6:D11)</f>
        <v>4.1584036752601483E-4</v>
      </c>
      <c r="E5" s="448">
        <f>SUM(E6:E11)</f>
        <v>6.1682382479640312E-4</v>
      </c>
      <c r="F5" s="461" t="s">
        <v>211</v>
      </c>
      <c r="G5" s="448">
        <f>SUM(G6:G11)</f>
        <v>0.21668202910971313</v>
      </c>
      <c r="H5" s="448">
        <f>SUM(H6:H11)</f>
        <v>4.7840083748662839E-2</v>
      </c>
      <c r="I5" s="463" t="s">
        <v>211</v>
      </c>
      <c r="J5" s="463" t="s">
        <v>211</v>
      </c>
      <c r="K5" s="463" t="s">
        <v>211</v>
      </c>
      <c r="L5" s="463" t="s">
        <v>211</v>
      </c>
      <c r="M5" s="448">
        <f>SUM(M6:M11)</f>
        <v>1.4079643806627547E-2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5.1339190474258813E-5</v>
      </c>
      <c r="C6" s="449"/>
      <c r="D6" s="962">
        <f>vkm_2011_GW_PW*SUMIFS(TableVerdeelsleutelVkm[CNG],TableVerdeelsleutelVkm[Voertuigtype],"Lichte voertuigen")*SUMIFS(TableECFTransport[EnergieConsumptieFactor (PJ per km)],TableECFTransport[Index],CONCATENATE($A6,"_CNG_CNG"))</f>
        <v>1.5398810540770202E-4</v>
      </c>
      <c r="E6" s="962">
        <f>vkm_2011_GW_PW*SUMIFS(TableVerdeelsleutelVkm[LPG],TableVerdeelsleutelVkm[Voertuigtype],"Lichte voertuigen")*SUMIFS(TableECFTransport[EnergieConsumptieFactor (PJ per km)],TableECFTransport[Index],CONCATENATE($A6,"_LPG_LPG"))</f>
        <v>2.1036987128817373E-4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5.4392005210335923E-2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1.7511311745767467E-2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3.6975604323617193E-3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2.0852165349122199E-2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6.3542046953452623E-6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1.21853130337497E-3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1.6789060456478248E-5</v>
      </c>
      <c r="C8" s="449"/>
      <c r="D8" s="451">
        <f>vkm_2011_NGW_PW*SUMIFS(TableVerdeelsleutelVkm[CNG],TableVerdeelsleutelVkm[Voertuigtype],"Lichte voertuigen")*SUMIFS(TableECFTransport[EnergieConsumptieFactor (PJ per km)],TableECFTransport[Index],CONCATENATE($A8,"_CNG_CNG"))</f>
        <v>8.9536279711595145E-5</v>
      </c>
      <c r="E8" s="451">
        <f>vkm_2011_NGW_PW*SUMIFS(TableVerdeelsleutelVkm[LPG],TableVerdeelsleutelVkm[Voertuigtype],"Lichte voertuigen")*SUMIFS(TableECFTransport[EnergieConsumptieFactor (PJ per km)],TableECFTransport[Index],CONCATENATE($A8,"_LPG_LPG"))</f>
        <v>1.1328166236056409E-4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2.729466364073202E-2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9.8946159026285577E-3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1.8883379134105418E-3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5.3304585501847177E-5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1.5291675151802162E-8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3.1149147435404716E-6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5.4920934088979542E-5</v>
      </c>
      <c r="C10" s="449"/>
      <c r="D10" s="451">
        <f>vkm_2011_SW_PW*SUMIFS(TableVerdeelsleutelVkm[CNG],TableVerdeelsleutelVkm[Voertuigtype],"Lichte voertuigen")*SUMIFS(TableECFTransport[EnergieConsumptieFactor (PJ per km)],TableECFTransport[Index],CONCATENATE($A10,"_CNG_CNG"))</f>
        <v>1.7231598240671764E-4</v>
      </c>
      <c r="E10" s="451">
        <f>vkm_2011_SW_PW*SUMIFS(TableVerdeelsleutelVkm[LPG],TableVerdeelsleutelVkm[Voertuigtype],"Lichte voertuigen")*SUMIFS(TableECFTransport[EnergieConsumptieFactor (PJ per km)],TableECFTransport[Index],CONCATENATE($A10,"_LPG_LPG"))</f>
        <v>2.9317229114766535E-4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6.7576877349289577E-2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2.0412480521713013E-2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4.5539996142184916E-3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4.651301297473158E-2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1.5306082183302558E-5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2.718099628518282E-3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34.180329172143495</v>
      </c>
      <c r="C14" s="21"/>
      <c r="D14" s="21">
        <f t="shared" ref="D14:M14" si="0">((D5)*10^9/3600)+D12</f>
        <v>115.5112132016708</v>
      </c>
      <c r="E14" s="21">
        <f t="shared" si="0"/>
        <v>171.33995133233421</v>
      </c>
      <c r="F14" s="21"/>
      <c r="G14" s="21">
        <f t="shared" si="0"/>
        <v>60189.452530475872</v>
      </c>
      <c r="H14" s="21">
        <f t="shared" si="0"/>
        <v>13288.912152406343</v>
      </c>
      <c r="I14" s="21"/>
      <c r="J14" s="21"/>
      <c r="K14" s="21"/>
      <c r="L14" s="21"/>
      <c r="M14" s="21">
        <f t="shared" si="0"/>
        <v>3911.0121685076519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23.333265066737503</v>
      </c>
      <c r="E18" s="23">
        <f t="shared" si="1"/>
        <v>38.89416895243987</v>
      </c>
      <c r="F18" s="23"/>
      <c r="G18" s="23">
        <f t="shared" si="1"/>
        <v>16070.583825637059</v>
      </c>
      <c r="H18" s="23">
        <f t="shared" si="1"/>
        <v>3308.9391259491795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3.1288322083380601E-3</v>
      </c>
      <c r="H50" s="321">
        <f t="shared" si="2"/>
        <v>0</v>
      </c>
      <c r="I50" s="321">
        <f t="shared" si="2"/>
        <v>0</v>
      </c>
      <c r="J50" s="321">
        <f t="shared" si="2"/>
        <v>0</v>
      </c>
      <c r="K50" s="321">
        <f t="shared" si="2"/>
        <v>0</v>
      </c>
      <c r="L50" s="321">
        <f t="shared" si="2"/>
        <v>0</v>
      </c>
      <c r="M50" s="321">
        <f t="shared" si="2"/>
        <v>1.777038569648236E-4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3.1288322083380601E-3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1.777038569648236E-4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869.12005787168334</v>
      </c>
      <c r="H54" s="21">
        <f t="shared" si="3"/>
        <v>0</v>
      </c>
      <c r="I54" s="21">
        <f t="shared" si="3"/>
        <v>0</v>
      </c>
      <c r="J54" s="21">
        <f t="shared" si="3"/>
        <v>0</v>
      </c>
      <c r="K54" s="21">
        <f t="shared" si="3"/>
        <v>0</v>
      </c>
      <c r="L54" s="21">
        <f t="shared" si="3"/>
        <v>0</v>
      </c>
      <c r="M54" s="21">
        <f t="shared" si="3"/>
        <v>49.362182490228776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232.05505545173946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24112.949651951967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3304.3633397459553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27417.312991697923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6169.6689000000006</v>
      </c>
      <c r="D10" s="718">
        <f ca="1">tertiair!C16</f>
        <v>0</v>
      </c>
      <c r="E10" s="718">
        <f ca="1">tertiair!D16</f>
        <v>7467.2286480000002</v>
      </c>
      <c r="F10" s="718">
        <f>tertiair!E16</f>
        <v>79.58596426013213</v>
      </c>
      <c r="G10" s="718">
        <f ca="1">tertiair!F16</f>
        <v>1115.7345604665184</v>
      </c>
      <c r="H10" s="718">
        <f>tertiair!G16</f>
        <v>0</v>
      </c>
      <c r="I10" s="718">
        <f>tertiair!H16</f>
        <v>0</v>
      </c>
      <c r="J10" s="718">
        <f>tertiair!I16</f>
        <v>0</v>
      </c>
      <c r="K10" s="718">
        <f>tertiair!J16</f>
        <v>3.725075914126838E-2</v>
      </c>
      <c r="L10" s="718">
        <f>tertiair!K16</f>
        <v>0</v>
      </c>
      <c r="M10" s="718">
        <f ca="1">tertiair!L16</f>
        <v>0</v>
      </c>
      <c r="N10" s="718">
        <f>tertiair!M16</f>
        <v>0</v>
      </c>
      <c r="O10" s="718">
        <f ca="1">tertiair!N16</f>
        <v>1466.1169482259897</v>
      </c>
      <c r="P10" s="718">
        <f>tertiair!O16</f>
        <v>1.5633333333333335</v>
      </c>
      <c r="Q10" s="719">
        <f>tertiair!P16</f>
        <v>95.333333333333343</v>
      </c>
      <c r="R10" s="721">
        <f ca="1">SUM(C10:Q10)</f>
        <v>16395.268938378449</v>
      </c>
      <c r="S10" s="67"/>
    </row>
    <row r="11" spans="1:19" s="474" customFormat="1">
      <c r="A11" s="870" t="s">
        <v>225</v>
      </c>
      <c r="B11" s="875"/>
      <c r="C11" s="718">
        <f>huishoudens!B8</f>
        <v>15031.749961821024</v>
      </c>
      <c r="D11" s="718">
        <f>huishoudens!C8</f>
        <v>0</v>
      </c>
      <c r="E11" s="718">
        <f>huishoudens!D8</f>
        <v>11835.534820999999</v>
      </c>
      <c r="F11" s="718">
        <f>huishoudens!E8</f>
        <v>5149.0921463233926</v>
      </c>
      <c r="G11" s="718">
        <f>huishoudens!F8</f>
        <v>48571.603396770552</v>
      </c>
      <c r="H11" s="718">
        <f>huishoudens!G8</f>
        <v>0</v>
      </c>
      <c r="I11" s="718">
        <f>huishoudens!H8</f>
        <v>0</v>
      </c>
      <c r="J11" s="718">
        <f>huishoudens!I8</f>
        <v>0</v>
      </c>
      <c r="K11" s="718">
        <f>huishoudens!J8</f>
        <v>1015.4974166652194</v>
      </c>
      <c r="L11" s="718">
        <f>huishoudens!K8</f>
        <v>0</v>
      </c>
      <c r="M11" s="718">
        <f>huishoudens!L8</f>
        <v>0</v>
      </c>
      <c r="N11" s="718">
        <f>huishoudens!M8</f>
        <v>0</v>
      </c>
      <c r="O11" s="718">
        <f>huishoudens!N8</f>
        <v>9290.0257982852218</v>
      </c>
      <c r="P11" s="718">
        <f>huishoudens!O8</f>
        <v>168.84</v>
      </c>
      <c r="Q11" s="719">
        <f>huishoudens!P8</f>
        <v>762.66666666666674</v>
      </c>
      <c r="R11" s="721">
        <f>SUM(C11:Q11)</f>
        <v>91825.010207532076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918.74465000000009</v>
      </c>
      <c r="D13" s="718">
        <f>industrie!C18</f>
        <v>0</v>
      </c>
      <c r="E13" s="718">
        <f>industrie!D18</f>
        <v>167.03741120000001</v>
      </c>
      <c r="F13" s="718">
        <f>industrie!E18</f>
        <v>225.12270993449403</v>
      </c>
      <c r="G13" s="718">
        <f>industrie!F18</f>
        <v>627.76620315525861</v>
      </c>
      <c r="H13" s="718">
        <f>industrie!G18</f>
        <v>0</v>
      </c>
      <c r="I13" s="718">
        <f>industrie!H18</f>
        <v>0</v>
      </c>
      <c r="J13" s="718">
        <f>industrie!I18</f>
        <v>0</v>
      </c>
      <c r="K13" s="718">
        <f>industrie!J18</f>
        <v>0</v>
      </c>
      <c r="L13" s="718">
        <f>industrie!K18</f>
        <v>0</v>
      </c>
      <c r="M13" s="718">
        <f>industrie!L18</f>
        <v>0</v>
      </c>
      <c r="N13" s="718">
        <f>industrie!M18</f>
        <v>0</v>
      </c>
      <c r="O13" s="718">
        <f>industrie!N18</f>
        <v>263.63745922345561</v>
      </c>
      <c r="P13" s="718">
        <f>industrie!O18</f>
        <v>0</v>
      </c>
      <c r="Q13" s="719">
        <f>industrie!P18</f>
        <v>0</v>
      </c>
      <c r="R13" s="721">
        <f>SUM(C13:Q13)</f>
        <v>2202.308433513208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22120.163511821025</v>
      </c>
      <c r="D15" s="723">
        <f t="shared" ref="D15:Q15" ca="1" si="0">SUM(D9:D14)</f>
        <v>0</v>
      </c>
      <c r="E15" s="723">
        <f t="shared" ca="1" si="0"/>
        <v>19469.800880199997</v>
      </c>
      <c r="F15" s="723">
        <f t="shared" si="0"/>
        <v>5453.8008205180186</v>
      </c>
      <c r="G15" s="723">
        <f t="shared" ca="1" si="0"/>
        <v>50315.10416039233</v>
      </c>
      <c r="H15" s="723">
        <f t="shared" si="0"/>
        <v>0</v>
      </c>
      <c r="I15" s="723">
        <f t="shared" si="0"/>
        <v>0</v>
      </c>
      <c r="J15" s="723">
        <f t="shared" si="0"/>
        <v>0</v>
      </c>
      <c r="K15" s="723">
        <f t="shared" si="0"/>
        <v>1015.5346674243606</v>
      </c>
      <c r="L15" s="723">
        <f t="shared" si="0"/>
        <v>0</v>
      </c>
      <c r="M15" s="723">
        <f t="shared" ca="1" si="0"/>
        <v>0</v>
      </c>
      <c r="N15" s="723">
        <f t="shared" si="0"/>
        <v>0</v>
      </c>
      <c r="O15" s="723">
        <f t="shared" ca="1" si="0"/>
        <v>11019.780205734667</v>
      </c>
      <c r="P15" s="723">
        <f t="shared" si="0"/>
        <v>170.40333333333334</v>
      </c>
      <c r="Q15" s="724">
        <f t="shared" si="0"/>
        <v>858.00000000000011</v>
      </c>
      <c r="R15" s="725">
        <f ca="1">SUM(R9:R14)</f>
        <v>110422.58757942374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869.12005787168334</v>
      </c>
      <c r="I18" s="718">
        <f>transport!H54</f>
        <v>0</v>
      </c>
      <c r="J18" s="718">
        <f>transport!I54</f>
        <v>0</v>
      </c>
      <c r="K18" s="718">
        <f>transport!J54</f>
        <v>0</v>
      </c>
      <c r="L18" s="718">
        <f>transport!K54</f>
        <v>0</v>
      </c>
      <c r="M18" s="718">
        <f>transport!L54</f>
        <v>0</v>
      </c>
      <c r="N18" s="718">
        <f>transport!M54</f>
        <v>49.362182490228776</v>
      </c>
      <c r="O18" s="718">
        <f>transport!N54</f>
        <v>0</v>
      </c>
      <c r="P18" s="718">
        <f>transport!O54</f>
        <v>0</v>
      </c>
      <c r="Q18" s="719">
        <f>transport!P54</f>
        <v>0</v>
      </c>
      <c r="R18" s="721">
        <f>SUM(C18:Q18)</f>
        <v>918.48224036191209</v>
      </c>
      <c r="S18" s="67"/>
    </row>
    <row r="19" spans="1:19" s="474" customFormat="1" ht="15" thickBot="1">
      <c r="A19" s="870" t="s">
        <v>307</v>
      </c>
      <c r="B19" s="875"/>
      <c r="C19" s="727">
        <f>transport!B14</f>
        <v>34.180329172143495</v>
      </c>
      <c r="D19" s="727">
        <f>transport!C14</f>
        <v>0</v>
      </c>
      <c r="E19" s="727">
        <f>transport!D14</f>
        <v>115.5112132016708</v>
      </c>
      <c r="F19" s="727">
        <f>transport!E14</f>
        <v>171.33995133233421</v>
      </c>
      <c r="G19" s="727">
        <f>transport!F14</f>
        <v>0</v>
      </c>
      <c r="H19" s="727">
        <f>transport!G14</f>
        <v>60189.452530475872</v>
      </c>
      <c r="I19" s="727">
        <f>transport!H14</f>
        <v>13288.912152406343</v>
      </c>
      <c r="J19" s="727">
        <f>transport!I14</f>
        <v>0</v>
      </c>
      <c r="K19" s="727">
        <f>transport!J14</f>
        <v>0</v>
      </c>
      <c r="L19" s="727">
        <f>transport!K14</f>
        <v>0</v>
      </c>
      <c r="M19" s="727">
        <f>transport!L14</f>
        <v>0</v>
      </c>
      <c r="N19" s="727">
        <f>transport!M14</f>
        <v>3911.0121685076519</v>
      </c>
      <c r="O19" s="727">
        <f>transport!N14</f>
        <v>0</v>
      </c>
      <c r="P19" s="727">
        <f>transport!O14</f>
        <v>0</v>
      </c>
      <c r="Q19" s="728">
        <f>transport!P14</f>
        <v>0</v>
      </c>
      <c r="R19" s="729">
        <f>SUM(C19:Q19)</f>
        <v>77710.408345096017</v>
      </c>
      <c r="S19" s="67"/>
    </row>
    <row r="20" spans="1:19" s="474" customFormat="1" ht="15.75" thickBot="1">
      <c r="A20" s="730" t="s">
        <v>230</v>
      </c>
      <c r="B20" s="878"/>
      <c r="C20" s="873">
        <f>SUM(C17:C19)</f>
        <v>34.180329172143495</v>
      </c>
      <c r="D20" s="731">
        <f t="shared" ref="D20:R20" si="1">SUM(D17:D19)</f>
        <v>0</v>
      </c>
      <c r="E20" s="731">
        <f t="shared" si="1"/>
        <v>115.5112132016708</v>
      </c>
      <c r="F20" s="731">
        <f t="shared" si="1"/>
        <v>171.33995133233421</v>
      </c>
      <c r="G20" s="731">
        <f t="shared" si="1"/>
        <v>0</v>
      </c>
      <c r="H20" s="731">
        <f t="shared" si="1"/>
        <v>61058.572588347553</v>
      </c>
      <c r="I20" s="731">
        <f t="shared" si="1"/>
        <v>13288.912152406343</v>
      </c>
      <c r="J20" s="731">
        <f t="shared" si="1"/>
        <v>0</v>
      </c>
      <c r="K20" s="731">
        <f t="shared" si="1"/>
        <v>0</v>
      </c>
      <c r="L20" s="731">
        <f t="shared" si="1"/>
        <v>0</v>
      </c>
      <c r="M20" s="731">
        <f t="shared" si="1"/>
        <v>0</v>
      </c>
      <c r="N20" s="731">
        <f t="shared" si="1"/>
        <v>3960.3743509978808</v>
      </c>
      <c r="O20" s="731">
        <f t="shared" si="1"/>
        <v>0</v>
      </c>
      <c r="P20" s="731">
        <f t="shared" si="1"/>
        <v>0</v>
      </c>
      <c r="Q20" s="732">
        <f t="shared" si="1"/>
        <v>0</v>
      </c>
      <c r="R20" s="733">
        <f t="shared" si="1"/>
        <v>78628.890585457935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1426.9449999999999</v>
      </c>
      <c r="D22" s="727">
        <f>+landbouw!C8</f>
        <v>0</v>
      </c>
      <c r="E22" s="727">
        <f>+landbouw!D8</f>
        <v>103.412496</v>
      </c>
      <c r="F22" s="727">
        <f>+landbouw!E8</f>
        <v>41.942271943082268</v>
      </c>
      <c r="G22" s="727">
        <f>+landbouw!F8</f>
        <v>5944.5757619394226</v>
      </c>
      <c r="H22" s="727">
        <f>+landbouw!G8</f>
        <v>0</v>
      </c>
      <c r="I22" s="727">
        <f>+landbouw!H8</f>
        <v>0</v>
      </c>
      <c r="J22" s="727">
        <f>+landbouw!I8</f>
        <v>0</v>
      </c>
      <c r="K22" s="727">
        <f>+landbouw!J8</f>
        <v>206.73368650534667</v>
      </c>
      <c r="L22" s="727">
        <f>+landbouw!K8</f>
        <v>0</v>
      </c>
      <c r="M22" s="727">
        <f>+landbouw!L8</f>
        <v>0</v>
      </c>
      <c r="N22" s="727">
        <f>+landbouw!M8</f>
        <v>0</v>
      </c>
      <c r="O22" s="727">
        <f>+landbouw!N8</f>
        <v>0</v>
      </c>
      <c r="P22" s="727">
        <f>+landbouw!O8</f>
        <v>0</v>
      </c>
      <c r="Q22" s="728">
        <f>+landbouw!P8</f>
        <v>0</v>
      </c>
      <c r="R22" s="729">
        <f>SUM(C22:Q22)</f>
        <v>7723.6092163878511</v>
      </c>
      <c r="S22" s="67"/>
    </row>
    <row r="23" spans="1:19" s="474" customFormat="1" ht="17.25" thickTop="1" thickBot="1">
      <c r="A23" s="734" t="s">
        <v>116</v>
      </c>
      <c r="B23" s="864"/>
      <c r="C23" s="735">
        <f ca="1">C20+C15+C22</f>
        <v>23581.288840993169</v>
      </c>
      <c r="D23" s="735">
        <f t="shared" ref="D23:Q23" ca="1" si="2">D20+D15+D22</f>
        <v>0</v>
      </c>
      <c r="E23" s="735">
        <f t="shared" ca="1" si="2"/>
        <v>19688.724589401667</v>
      </c>
      <c r="F23" s="735">
        <f t="shared" si="2"/>
        <v>5667.0830437934346</v>
      </c>
      <c r="G23" s="735">
        <f t="shared" ca="1" si="2"/>
        <v>56259.67992233175</v>
      </c>
      <c r="H23" s="735">
        <f t="shared" si="2"/>
        <v>61058.572588347553</v>
      </c>
      <c r="I23" s="735">
        <f t="shared" si="2"/>
        <v>13288.912152406343</v>
      </c>
      <c r="J23" s="735">
        <f t="shared" si="2"/>
        <v>0</v>
      </c>
      <c r="K23" s="735">
        <f t="shared" si="2"/>
        <v>1222.2683539297072</v>
      </c>
      <c r="L23" s="735">
        <f t="shared" si="2"/>
        <v>0</v>
      </c>
      <c r="M23" s="735">
        <f t="shared" ca="1" si="2"/>
        <v>0</v>
      </c>
      <c r="N23" s="735">
        <f t="shared" si="2"/>
        <v>3960.3743509978808</v>
      </c>
      <c r="O23" s="735">
        <f t="shared" ca="1" si="2"/>
        <v>11019.780205734667</v>
      </c>
      <c r="P23" s="735">
        <f t="shared" si="2"/>
        <v>170.40333333333334</v>
      </c>
      <c r="Q23" s="736">
        <f t="shared" si="2"/>
        <v>858.00000000000011</v>
      </c>
      <c r="R23" s="737">
        <f ca="1">R20+R15+R22</f>
        <v>196775.08738126952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0</v>
      </c>
      <c r="D36" s="718">
        <f ca="1">tertiair!C20</f>
        <v>0</v>
      </c>
      <c r="E36" s="718">
        <f ca="1">tertiair!D20</f>
        <v>1508.3801868960002</v>
      </c>
      <c r="F36" s="718">
        <f>tertiair!E20</f>
        <v>18.066013887049994</v>
      </c>
      <c r="G36" s="718">
        <f ca="1">tertiair!F20</f>
        <v>297.9011276445604</v>
      </c>
      <c r="H36" s="718">
        <f>tertiair!G20</f>
        <v>0</v>
      </c>
      <c r="I36" s="718">
        <f>tertiair!H20</f>
        <v>0</v>
      </c>
      <c r="J36" s="718">
        <f>tertiair!I20</f>
        <v>0</v>
      </c>
      <c r="K36" s="718">
        <f>tertiair!J20</f>
        <v>1.3186768736009005E-2</v>
      </c>
      <c r="L36" s="718">
        <f>tertiair!K20</f>
        <v>0</v>
      </c>
      <c r="M36" s="718">
        <f ca="1">tertiair!L20</f>
        <v>0</v>
      </c>
      <c r="N36" s="718">
        <f>tertiair!M20</f>
        <v>0</v>
      </c>
      <c r="O36" s="718">
        <f ca="1">tertiair!N20</f>
        <v>0</v>
      </c>
      <c r="P36" s="718">
        <f>tertiair!O20</f>
        <v>0</v>
      </c>
      <c r="Q36" s="828">
        <f>tertiair!P20</f>
        <v>0</v>
      </c>
      <c r="R36" s="917">
        <f ca="1">SUM(C36:Q36)</f>
        <v>1824.3605151963466</v>
      </c>
    </row>
    <row r="37" spans="1:18">
      <c r="A37" s="885" t="s">
        <v>225</v>
      </c>
      <c r="B37" s="892"/>
      <c r="C37" s="718">
        <f ca="1">huishoudens!B12</f>
        <v>0</v>
      </c>
      <c r="D37" s="718">
        <f ca="1">huishoudens!C12</f>
        <v>0</v>
      </c>
      <c r="E37" s="718">
        <f>huishoudens!D12</f>
        <v>2390.7780338419998</v>
      </c>
      <c r="F37" s="718">
        <f>huishoudens!E12</f>
        <v>1168.8439172154101</v>
      </c>
      <c r="G37" s="718">
        <f>huishoudens!F12</f>
        <v>12968.618106937738</v>
      </c>
      <c r="H37" s="718">
        <f>huishoudens!G12</f>
        <v>0</v>
      </c>
      <c r="I37" s="718">
        <f>huishoudens!H12</f>
        <v>0</v>
      </c>
      <c r="J37" s="718">
        <f>huishoudens!I12</f>
        <v>0</v>
      </c>
      <c r="K37" s="718">
        <f>huishoudens!J12</f>
        <v>359.48608549948761</v>
      </c>
      <c r="L37" s="718">
        <f>huishoudens!K12</f>
        <v>0</v>
      </c>
      <c r="M37" s="718">
        <f>huishoudens!L12</f>
        <v>0</v>
      </c>
      <c r="N37" s="718">
        <f>huishoudens!M12</f>
        <v>0</v>
      </c>
      <c r="O37" s="718">
        <f>huishoudens!N12</f>
        <v>0</v>
      </c>
      <c r="P37" s="718">
        <f>huishoudens!O12</f>
        <v>0</v>
      </c>
      <c r="Q37" s="828">
        <f>huishoudens!P12</f>
        <v>0</v>
      </c>
      <c r="R37" s="917">
        <f ca="1">SUM(C37:Q37)</f>
        <v>16887.726143494638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0</v>
      </c>
      <c r="D39" s="718">
        <f ca="1">industrie!C22</f>
        <v>0</v>
      </c>
      <c r="E39" s="718">
        <f>industrie!D22</f>
        <v>33.741557062400005</v>
      </c>
      <c r="F39" s="718">
        <f>industrie!E22</f>
        <v>51.102855155130143</v>
      </c>
      <c r="G39" s="718">
        <f>industrie!F22</f>
        <v>167.61357624245406</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252.45798845998422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0</v>
      </c>
      <c r="D41" s="763">
        <f t="shared" ref="D41:R41" ca="1" si="4">SUM(D35:D40)</f>
        <v>0</v>
      </c>
      <c r="E41" s="763">
        <f t="shared" ca="1" si="4"/>
        <v>3932.8997778003995</v>
      </c>
      <c r="F41" s="763">
        <f t="shared" si="4"/>
        <v>1238.0127862575903</v>
      </c>
      <c r="G41" s="763">
        <f t="shared" ca="1" si="4"/>
        <v>13434.132810824753</v>
      </c>
      <c r="H41" s="763">
        <f t="shared" si="4"/>
        <v>0</v>
      </c>
      <c r="I41" s="763">
        <f t="shared" si="4"/>
        <v>0</v>
      </c>
      <c r="J41" s="763">
        <f t="shared" si="4"/>
        <v>0</v>
      </c>
      <c r="K41" s="763">
        <f t="shared" si="4"/>
        <v>359.49927226822365</v>
      </c>
      <c r="L41" s="763">
        <f t="shared" si="4"/>
        <v>0</v>
      </c>
      <c r="M41" s="763">
        <f t="shared" ca="1" si="4"/>
        <v>0</v>
      </c>
      <c r="N41" s="763">
        <f t="shared" si="4"/>
        <v>0</v>
      </c>
      <c r="O41" s="763">
        <f t="shared" ca="1" si="4"/>
        <v>0</v>
      </c>
      <c r="P41" s="763">
        <f t="shared" si="4"/>
        <v>0</v>
      </c>
      <c r="Q41" s="764">
        <f t="shared" si="4"/>
        <v>0</v>
      </c>
      <c r="R41" s="765">
        <f t="shared" ca="1" si="4"/>
        <v>18964.544647150968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232.05505545173946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232.05505545173946</v>
      </c>
    </row>
    <row r="45" spans="1:18" ht="15" thickBot="1">
      <c r="A45" s="888" t="s">
        <v>307</v>
      </c>
      <c r="B45" s="898"/>
      <c r="C45" s="727">
        <f ca="1">transport!B18</f>
        <v>0</v>
      </c>
      <c r="D45" s="727">
        <f>transport!C18</f>
        <v>0</v>
      </c>
      <c r="E45" s="727">
        <f>transport!D18</f>
        <v>23.333265066737503</v>
      </c>
      <c r="F45" s="727">
        <f>transport!E18</f>
        <v>38.89416895243987</v>
      </c>
      <c r="G45" s="727">
        <f>transport!F18</f>
        <v>0</v>
      </c>
      <c r="H45" s="727">
        <f>transport!G18</f>
        <v>16070.583825637059</v>
      </c>
      <c r="I45" s="727">
        <f>transport!H18</f>
        <v>3308.9391259491795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19441.750385605417</v>
      </c>
    </row>
    <row r="46" spans="1:18" ht="15.75" thickBot="1">
      <c r="A46" s="886" t="s">
        <v>230</v>
      </c>
      <c r="B46" s="899"/>
      <c r="C46" s="763">
        <f t="shared" ref="C46:R46" ca="1" si="5">SUM(C43:C45)</f>
        <v>0</v>
      </c>
      <c r="D46" s="763">
        <f t="shared" ca="1" si="5"/>
        <v>0</v>
      </c>
      <c r="E46" s="763">
        <f t="shared" si="5"/>
        <v>23.333265066737503</v>
      </c>
      <c r="F46" s="763">
        <f t="shared" si="5"/>
        <v>38.89416895243987</v>
      </c>
      <c r="G46" s="763">
        <f t="shared" si="5"/>
        <v>0</v>
      </c>
      <c r="H46" s="763">
        <f t="shared" si="5"/>
        <v>16302.638881088798</v>
      </c>
      <c r="I46" s="763">
        <f t="shared" si="5"/>
        <v>3308.9391259491795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19673.805441057157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0</v>
      </c>
      <c r="D48" s="718">
        <f ca="1">+landbouw!C12</f>
        <v>0</v>
      </c>
      <c r="E48" s="718">
        <f>+landbouw!D12</f>
        <v>20.889324192000004</v>
      </c>
      <c r="F48" s="718">
        <f>+landbouw!E12</f>
        <v>9.5208957310796745</v>
      </c>
      <c r="G48" s="718">
        <f>+landbouw!F12</f>
        <v>1587.201728437826</v>
      </c>
      <c r="H48" s="718">
        <f>+landbouw!G12</f>
        <v>0</v>
      </c>
      <c r="I48" s="718">
        <f>+landbouw!H12</f>
        <v>0</v>
      </c>
      <c r="J48" s="718">
        <f>+landbouw!I12</f>
        <v>0</v>
      </c>
      <c r="K48" s="718">
        <f>+landbouw!J12</f>
        <v>73.183725022892716</v>
      </c>
      <c r="L48" s="718">
        <f>+landbouw!K12</f>
        <v>0</v>
      </c>
      <c r="M48" s="718">
        <f>+landbouw!L12</f>
        <v>0</v>
      </c>
      <c r="N48" s="718">
        <f>+landbouw!M12</f>
        <v>0</v>
      </c>
      <c r="O48" s="718">
        <f>+landbouw!N12</f>
        <v>0</v>
      </c>
      <c r="P48" s="718">
        <f>+landbouw!O12</f>
        <v>0</v>
      </c>
      <c r="Q48" s="719">
        <f>+landbouw!P12</f>
        <v>0</v>
      </c>
      <c r="R48" s="761">
        <f ca="1">SUM(C48:Q48)</f>
        <v>1690.7956733837984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0</v>
      </c>
      <c r="D53" s="773">
        <f t="shared" ref="D53:Q53" ca="1" si="6">D41+D46+D48</f>
        <v>0</v>
      </c>
      <c r="E53" s="773">
        <f t="shared" ca="1" si="6"/>
        <v>3977.1223670591371</v>
      </c>
      <c r="F53" s="773">
        <f t="shared" si="6"/>
        <v>1286.4278509411099</v>
      </c>
      <c r="G53" s="773">
        <f t="shared" ca="1" si="6"/>
        <v>15021.334539262578</v>
      </c>
      <c r="H53" s="773">
        <f t="shared" si="6"/>
        <v>16302.638881088798</v>
      </c>
      <c r="I53" s="773">
        <f t="shared" si="6"/>
        <v>3308.9391259491795</v>
      </c>
      <c r="J53" s="773">
        <f t="shared" si="6"/>
        <v>0</v>
      </c>
      <c r="K53" s="773">
        <f t="shared" si="6"/>
        <v>432.68299729111635</v>
      </c>
      <c r="L53" s="773">
        <f t="shared" si="6"/>
        <v>0</v>
      </c>
      <c r="M53" s="773">
        <f t="shared" ca="1" si="6"/>
        <v>0</v>
      </c>
      <c r="N53" s="773">
        <f t="shared" si="6"/>
        <v>0</v>
      </c>
      <c r="O53" s="773">
        <f t="shared" ca="1" si="6"/>
        <v>0</v>
      </c>
      <c r="P53" s="773">
        <f>P41+P46+P48</f>
        <v>0</v>
      </c>
      <c r="Q53" s="774">
        <f t="shared" si="6"/>
        <v>0</v>
      </c>
      <c r="R53" s="775">
        <f ca="1">R41+R46+R48</f>
        <v>40329.145761591928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24112.949651951967</v>
      </c>
      <c r="C64" s="795">
        <f>'lokale energieproductie'!B4</f>
        <v>24112.949651951967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3304.3633397459553</v>
      </c>
      <c r="C66" s="795">
        <f>'lokale energieproductie'!B6</f>
        <v>3304.3633397459553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27417.312991697923</v>
      </c>
      <c r="C69" s="803">
        <f>SUM(C64:C68)</f>
        <v>27417.312991697923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15031.749961821024</v>
      </c>
      <c r="C4" s="478">
        <f>huishoudens!C8</f>
        <v>0</v>
      </c>
      <c r="D4" s="478">
        <f>huishoudens!D8</f>
        <v>11835.534820999999</v>
      </c>
      <c r="E4" s="478">
        <f>huishoudens!E8</f>
        <v>5149.0921463233926</v>
      </c>
      <c r="F4" s="478">
        <f>huishoudens!F8</f>
        <v>48571.603396770552</v>
      </c>
      <c r="G4" s="478">
        <f>huishoudens!G8</f>
        <v>0</v>
      </c>
      <c r="H4" s="478">
        <f>huishoudens!H8</f>
        <v>0</v>
      </c>
      <c r="I4" s="478">
        <f>huishoudens!I8</f>
        <v>0</v>
      </c>
      <c r="J4" s="478">
        <f>huishoudens!J8</f>
        <v>1015.4974166652194</v>
      </c>
      <c r="K4" s="478">
        <f>huishoudens!K8</f>
        <v>0</v>
      </c>
      <c r="L4" s="478">
        <f>huishoudens!L8</f>
        <v>0</v>
      </c>
      <c r="M4" s="478">
        <f>huishoudens!M8</f>
        <v>0</v>
      </c>
      <c r="N4" s="478">
        <f>huishoudens!N8</f>
        <v>9290.0257982852218</v>
      </c>
      <c r="O4" s="478">
        <f>huishoudens!O8</f>
        <v>168.84</v>
      </c>
      <c r="P4" s="479">
        <f>huishoudens!P8</f>
        <v>762.66666666666674</v>
      </c>
      <c r="Q4" s="480">
        <f>SUM(B4:P4)</f>
        <v>91825.010207532076</v>
      </c>
    </row>
    <row r="5" spans="1:17">
      <c r="A5" s="477" t="s">
        <v>156</v>
      </c>
      <c r="B5" s="478">
        <f ca="1">tertiair!B16</f>
        <v>5694.7529000000004</v>
      </c>
      <c r="C5" s="478">
        <f ca="1">tertiair!C16</f>
        <v>0</v>
      </c>
      <c r="D5" s="478">
        <f ca="1">tertiair!D16</f>
        <v>7467.2286480000002</v>
      </c>
      <c r="E5" s="478">
        <f>tertiair!E16</f>
        <v>79.58596426013213</v>
      </c>
      <c r="F5" s="478">
        <f ca="1">tertiair!F16</f>
        <v>1115.7345604665184</v>
      </c>
      <c r="G5" s="478">
        <f>tertiair!G16</f>
        <v>0</v>
      </c>
      <c r="H5" s="478">
        <f>tertiair!H16</f>
        <v>0</v>
      </c>
      <c r="I5" s="478">
        <f>tertiair!I16</f>
        <v>0</v>
      </c>
      <c r="J5" s="478">
        <f>tertiair!J16</f>
        <v>3.725075914126838E-2</v>
      </c>
      <c r="K5" s="478">
        <f>tertiair!K16</f>
        <v>0</v>
      </c>
      <c r="L5" s="478">
        <f ca="1">tertiair!L16</f>
        <v>0</v>
      </c>
      <c r="M5" s="478">
        <f>tertiair!M16</f>
        <v>0</v>
      </c>
      <c r="N5" s="478">
        <f ca="1">tertiair!N16</f>
        <v>1466.1169482259897</v>
      </c>
      <c r="O5" s="478">
        <f>tertiair!O16</f>
        <v>1.5633333333333335</v>
      </c>
      <c r="P5" s="479">
        <f>tertiair!P16</f>
        <v>95.333333333333343</v>
      </c>
      <c r="Q5" s="477">
        <f t="shared" ref="Q5:Q13" ca="1" si="0">SUM(B5:P5)</f>
        <v>15920.35293837845</v>
      </c>
    </row>
    <row r="6" spans="1:17">
      <c r="A6" s="477" t="s">
        <v>194</v>
      </c>
      <c r="B6" s="478">
        <f>'openbare verlichting'!B8</f>
        <v>474.916</v>
      </c>
      <c r="C6" s="478"/>
      <c r="D6" s="478"/>
      <c r="E6" s="478"/>
      <c r="F6" s="478"/>
      <c r="G6" s="478"/>
      <c r="H6" s="478"/>
      <c r="I6" s="478"/>
      <c r="J6" s="478"/>
      <c r="K6" s="478"/>
      <c r="L6" s="478"/>
      <c r="M6" s="478"/>
      <c r="N6" s="478"/>
      <c r="O6" s="478"/>
      <c r="P6" s="479"/>
      <c r="Q6" s="477">
        <f t="shared" si="0"/>
        <v>474.916</v>
      </c>
    </row>
    <row r="7" spans="1:17">
      <c r="A7" s="477" t="s">
        <v>112</v>
      </c>
      <c r="B7" s="478">
        <f>landbouw!B8</f>
        <v>1426.9449999999999</v>
      </c>
      <c r="C7" s="478">
        <f>landbouw!C8</f>
        <v>0</v>
      </c>
      <c r="D7" s="478">
        <f>landbouw!D8</f>
        <v>103.412496</v>
      </c>
      <c r="E7" s="478">
        <f>landbouw!E8</f>
        <v>41.942271943082268</v>
      </c>
      <c r="F7" s="478">
        <f>landbouw!F8</f>
        <v>5944.5757619394226</v>
      </c>
      <c r="G7" s="478">
        <f>landbouw!G8</f>
        <v>0</v>
      </c>
      <c r="H7" s="478">
        <f>landbouw!H8</f>
        <v>0</v>
      </c>
      <c r="I7" s="478">
        <f>landbouw!I8</f>
        <v>0</v>
      </c>
      <c r="J7" s="478">
        <f>landbouw!J8</f>
        <v>206.73368650534667</v>
      </c>
      <c r="K7" s="478">
        <f>landbouw!K8</f>
        <v>0</v>
      </c>
      <c r="L7" s="478">
        <f>landbouw!L8</f>
        <v>0</v>
      </c>
      <c r="M7" s="478">
        <f>landbouw!M8</f>
        <v>0</v>
      </c>
      <c r="N7" s="478">
        <f>landbouw!N8</f>
        <v>0</v>
      </c>
      <c r="O7" s="478">
        <f>landbouw!O8</f>
        <v>0</v>
      </c>
      <c r="P7" s="479">
        <f>landbouw!P8</f>
        <v>0</v>
      </c>
      <c r="Q7" s="477">
        <f t="shared" si="0"/>
        <v>7723.6092163878511</v>
      </c>
    </row>
    <row r="8" spans="1:17">
      <c r="A8" s="477" t="s">
        <v>635</v>
      </c>
      <c r="B8" s="478">
        <f>industrie!B18</f>
        <v>918.74465000000009</v>
      </c>
      <c r="C8" s="478">
        <f>industrie!C18</f>
        <v>0</v>
      </c>
      <c r="D8" s="478">
        <f>industrie!D18</f>
        <v>167.03741120000001</v>
      </c>
      <c r="E8" s="478">
        <f>industrie!E18</f>
        <v>225.12270993449403</v>
      </c>
      <c r="F8" s="478">
        <f>industrie!F18</f>
        <v>627.76620315525861</v>
      </c>
      <c r="G8" s="478">
        <f>industrie!G18</f>
        <v>0</v>
      </c>
      <c r="H8" s="478">
        <f>industrie!H18</f>
        <v>0</v>
      </c>
      <c r="I8" s="478">
        <f>industrie!I18</f>
        <v>0</v>
      </c>
      <c r="J8" s="478">
        <f>industrie!J18</f>
        <v>0</v>
      </c>
      <c r="K8" s="478">
        <f>industrie!K18</f>
        <v>0</v>
      </c>
      <c r="L8" s="478">
        <f>industrie!L18</f>
        <v>0</v>
      </c>
      <c r="M8" s="478">
        <f>industrie!M18</f>
        <v>0</v>
      </c>
      <c r="N8" s="478">
        <f>industrie!N18</f>
        <v>263.63745922345561</v>
      </c>
      <c r="O8" s="478">
        <f>industrie!O18</f>
        <v>0</v>
      </c>
      <c r="P8" s="479">
        <f>industrie!P18</f>
        <v>0</v>
      </c>
      <c r="Q8" s="477">
        <f t="shared" si="0"/>
        <v>2202.308433513208</v>
      </c>
    </row>
    <row r="9" spans="1:17" s="483" customFormat="1">
      <c r="A9" s="481" t="s">
        <v>561</v>
      </c>
      <c r="B9" s="482">
        <f>transport!B14</f>
        <v>34.180329172143495</v>
      </c>
      <c r="C9" s="482">
        <f>transport!C14</f>
        <v>0</v>
      </c>
      <c r="D9" s="482">
        <f>transport!D14</f>
        <v>115.5112132016708</v>
      </c>
      <c r="E9" s="482">
        <f>transport!E14</f>
        <v>171.33995133233421</v>
      </c>
      <c r="F9" s="482">
        <f>transport!F14</f>
        <v>0</v>
      </c>
      <c r="G9" s="482">
        <f>transport!G14</f>
        <v>60189.452530475872</v>
      </c>
      <c r="H9" s="482">
        <f>transport!H14</f>
        <v>13288.912152406343</v>
      </c>
      <c r="I9" s="482">
        <f>transport!I14</f>
        <v>0</v>
      </c>
      <c r="J9" s="482">
        <f>transport!J14</f>
        <v>0</v>
      </c>
      <c r="K9" s="482">
        <f>transport!K14</f>
        <v>0</v>
      </c>
      <c r="L9" s="482">
        <f>transport!L14</f>
        <v>0</v>
      </c>
      <c r="M9" s="482">
        <f>transport!M14</f>
        <v>3911.0121685076519</v>
      </c>
      <c r="N9" s="482">
        <f>transport!N14</f>
        <v>0</v>
      </c>
      <c r="O9" s="482">
        <f>transport!O14</f>
        <v>0</v>
      </c>
      <c r="P9" s="482">
        <f>transport!P14</f>
        <v>0</v>
      </c>
      <c r="Q9" s="481">
        <f>SUM(B9:P9)</f>
        <v>77710.408345096017</v>
      </c>
    </row>
    <row r="10" spans="1:17">
      <c r="A10" s="477" t="s">
        <v>551</v>
      </c>
      <c r="B10" s="478">
        <f>transport!B54</f>
        <v>0</v>
      </c>
      <c r="C10" s="478">
        <f>transport!C54</f>
        <v>0</v>
      </c>
      <c r="D10" s="478">
        <f>transport!D54</f>
        <v>0</v>
      </c>
      <c r="E10" s="478">
        <f>transport!E54</f>
        <v>0</v>
      </c>
      <c r="F10" s="478">
        <f>transport!F54</f>
        <v>0</v>
      </c>
      <c r="G10" s="478">
        <f>transport!G54</f>
        <v>869.12005787168334</v>
      </c>
      <c r="H10" s="478">
        <f>transport!H54</f>
        <v>0</v>
      </c>
      <c r="I10" s="478">
        <f>transport!I54</f>
        <v>0</v>
      </c>
      <c r="J10" s="478">
        <f>transport!J54</f>
        <v>0</v>
      </c>
      <c r="K10" s="478">
        <f>transport!K54</f>
        <v>0</v>
      </c>
      <c r="L10" s="478">
        <f>transport!L54</f>
        <v>0</v>
      </c>
      <c r="M10" s="478">
        <f>transport!M54</f>
        <v>49.362182490228776</v>
      </c>
      <c r="N10" s="478">
        <f>transport!N54</f>
        <v>0</v>
      </c>
      <c r="O10" s="478">
        <f>transport!O54</f>
        <v>0</v>
      </c>
      <c r="P10" s="479">
        <f>transport!P54</f>
        <v>0</v>
      </c>
      <c r="Q10" s="477">
        <f t="shared" si="0"/>
        <v>918.48224036191209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23581.288840993169</v>
      </c>
      <c r="C14" s="488">
        <f t="shared" ref="C14:Q14" ca="1" si="1">SUM(C4:C13)</f>
        <v>0</v>
      </c>
      <c r="D14" s="488">
        <f t="shared" ca="1" si="1"/>
        <v>19688.724589401667</v>
      </c>
      <c r="E14" s="488">
        <f t="shared" si="1"/>
        <v>5667.0830437934346</v>
      </c>
      <c r="F14" s="488">
        <f t="shared" ca="1" si="1"/>
        <v>56259.67992233175</v>
      </c>
      <c r="G14" s="488">
        <f t="shared" si="1"/>
        <v>61058.572588347553</v>
      </c>
      <c r="H14" s="488">
        <f t="shared" si="1"/>
        <v>13288.912152406343</v>
      </c>
      <c r="I14" s="488">
        <f t="shared" si="1"/>
        <v>0</v>
      </c>
      <c r="J14" s="488">
        <f t="shared" si="1"/>
        <v>1222.2683539297072</v>
      </c>
      <c r="K14" s="488">
        <f t="shared" si="1"/>
        <v>0</v>
      </c>
      <c r="L14" s="488">
        <f t="shared" ca="1" si="1"/>
        <v>0</v>
      </c>
      <c r="M14" s="488">
        <f t="shared" si="1"/>
        <v>3960.3743509978808</v>
      </c>
      <c r="N14" s="488">
        <f t="shared" ca="1" si="1"/>
        <v>11019.780205734667</v>
      </c>
      <c r="O14" s="488">
        <f t="shared" si="1"/>
        <v>170.40333333333334</v>
      </c>
      <c r="P14" s="489">
        <f t="shared" si="1"/>
        <v>858.00000000000011</v>
      </c>
      <c r="Q14" s="489">
        <f t="shared" ca="1" si="1"/>
        <v>196775.08738126952</v>
      </c>
    </row>
    <row r="16" spans="1:17">
      <c r="A16" s="491" t="s">
        <v>556</v>
      </c>
      <c r="B16" s="841">
        <f ca="1">huishoudens!B10</f>
        <v>0</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0</v>
      </c>
      <c r="C21" s="478">
        <f t="shared" ref="C21:C30" ca="1" si="3">C4*$C$16</f>
        <v>0</v>
      </c>
      <c r="D21" s="478">
        <f t="shared" ref="D21:D30" si="4">D4*$D$16</f>
        <v>2390.7780338419998</v>
      </c>
      <c r="E21" s="478">
        <f t="shared" ref="E21:E30" si="5">E4*$E$16</f>
        <v>1168.8439172154101</v>
      </c>
      <c r="F21" s="478">
        <f t="shared" ref="F21:F30" si="6">F4*$F$16</f>
        <v>12968.618106937738</v>
      </c>
      <c r="G21" s="478">
        <f t="shared" ref="G21:G30" si="7">G4*$G$16</f>
        <v>0</v>
      </c>
      <c r="H21" s="478">
        <f t="shared" ref="H21:H30" si="8">H4*$H$16</f>
        <v>0</v>
      </c>
      <c r="I21" s="478">
        <f t="shared" ref="I21:I30" si="9">I4*$I$16</f>
        <v>0</v>
      </c>
      <c r="J21" s="478">
        <f t="shared" ref="J21:J30" si="10">J4*$J$16</f>
        <v>359.48608549948761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16887.726143494638</v>
      </c>
    </row>
    <row r="22" spans="1:17">
      <c r="A22" s="477" t="s">
        <v>156</v>
      </c>
      <c r="B22" s="478">
        <f t="shared" ca="1" si="2"/>
        <v>0</v>
      </c>
      <c r="C22" s="478">
        <f t="shared" ca="1" si="3"/>
        <v>0</v>
      </c>
      <c r="D22" s="478">
        <f t="shared" ca="1" si="4"/>
        <v>1508.3801868960002</v>
      </c>
      <c r="E22" s="478">
        <f t="shared" si="5"/>
        <v>18.066013887049994</v>
      </c>
      <c r="F22" s="478">
        <f t="shared" ca="1" si="6"/>
        <v>297.9011276445604</v>
      </c>
      <c r="G22" s="478">
        <f t="shared" si="7"/>
        <v>0</v>
      </c>
      <c r="H22" s="478">
        <f t="shared" si="8"/>
        <v>0</v>
      </c>
      <c r="I22" s="478">
        <f t="shared" si="9"/>
        <v>0</v>
      </c>
      <c r="J22" s="478">
        <f t="shared" si="10"/>
        <v>1.3186768736009005E-2</v>
      </c>
      <c r="K22" s="478">
        <f t="shared" si="11"/>
        <v>0</v>
      </c>
      <c r="L22" s="478">
        <f t="shared" ca="1" si="12"/>
        <v>0</v>
      </c>
      <c r="M22" s="478">
        <f t="shared" si="13"/>
        <v>0</v>
      </c>
      <c r="N22" s="478">
        <f t="shared" ca="1" si="14"/>
        <v>0</v>
      </c>
      <c r="O22" s="478">
        <f t="shared" si="15"/>
        <v>0</v>
      </c>
      <c r="P22" s="479">
        <f t="shared" si="16"/>
        <v>0</v>
      </c>
      <c r="Q22" s="477">
        <f t="shared" ref="Q22:Q30" ca="1" si="17">SUM(B22:P22)</f>
        <v>1824.3605151963466</v>
      </c>
    </row>
    <row r="23" spans="1:17">
      <c r="A23" s="477" t="s">
        <v>194</v>
      </c>
      <c r="B23" s="478">
        <f t="shared" ca="1" si="2"/>
        <v>0</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0</v>
      </c>
    </row>
    <row r="24" spans="1:17">
      <c r="A24" s="477" t="s">
        <v>112</v>
      </c>
      <c r="B24" s="478">
        <f t="shared" ca="1" si="2"/>
        <v>0</v>
      </c>
      <c r="C24" s="478">
        <f t="shared" ca="1" si="3"/>
        <v>0</v>
      </c>
      <c r="D24" s="478">
        <f t="shared" si="4"/>
        <v>20.889324192000004</v>
      </c>
      <c r="E24" s="478">
        <f t="shared" si="5"/>
        <v>9.5208957310796745</v>
      </c>
      <c r="F24" s="478">
        <f t="shared" si="6"/>
        <v>1587.201728437826</v>
      </c>
      <c r="G24" s="478">
        <f t="shared" si="7"/>
        <v>0</v>
      </c>
      <c r="H24" s="478">
        <f t="shared" si="8"/>
        <v>0</v>
      </c>
      <c r="I24" s="478">
        <f t="shared" si="9"/>
        <v>0</v>
      </c>
      <c r="J24" s="478">
        <f t="shared" si="10"/>
        <v>73.183725022892716</v>
      </c>
      <c r="K24" s="478">
        <f t="shared" si="11"/>
        <v>0</v>
      </c>
      <c r="L24" s="478">
        <f t="shared" si="12"/>
        <v>0</v>
      </c>
      <c r="M24" s="478">
        <f t="shared" si="13"/>
        <v>0</v>
      </c>
      <c r="N24" s="478">
        <f t="shared" si="14"/>
        <v>0</v>
      </c>
      <c r="O24" s="478">
        <f t="shared" si="15"/>
        <v>0</v>
      </c>
      <c r="P24" s="479">
        <f t="shared" si="16"/>
        <v>0</v>
      </c>
      <c r="Q24" s="477">
        <f t="shared" ca="1" si="17"/>
        <v>1690.7956733837984</v>
      </c>
    </row>
    <row r="25" spans="1:17">
      <c r="A25" s="477" t="s">
        <v>635</v>
      </c>
      <c r="B25" s="478">
        <f t="shared" ca="1" si="2"/>
        <v>0</v>
      </c>
      <c r="C25" s="478">
        <f t="shared" ca="1" si="3"/>
        <v>0</v>
      </c>
      <c r="D25" s="478">
        <f t="shared" si="4"/>
        <v>33.741557062400005</v>
      </c>
      <c r="E25" s="478">
        <f t="shared" si="5"/>
        <v>51.102855155130143</v>
      </c>
      <c r="F25" s="478">
        <f t="shared" si="6"/>
        <v>167.61357624245406</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252.45798845998422</v>
      </c>
    </row>
    <row r="26" spans="1:17" s="483" customFormat="1">
      <c r="A26" s="481" t="s">
        <v>561</v>
      </c>
      <c r="B26" s="835">
        <f t="shared" ca="1" si="2"/>
        <v>0</v>
      </c>
      <c r="C26" s="482">
        <f t="shared" ca="1" si="3"/>
        <v>0</v>
      </c>
      <c r="D26" s="482">
        <f t="shared" si="4"/>
        <v>23.333265066737503</v>
      </c>
      <c r="E26" s="482">
        <f t="shared" si="5"/>
        <v>38.89416895243987</v>
      </c>
      <c r="F26" s="482">
        <f t="shared" si="6"/>
        <v>0</v>
      </c>
      <c r="G26" s="482">
        <f t="shared" si="7"/>
        <v>16070.583825637059</v>
      </c>
      <c r="H26" s="482">
        <f t="shared" si="8"/>
        <v>3308.9391259491795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19441.750385605417</v>
      </c>
    </row>
    <row r="27" spans="1:17">
      <c r="A27" s="477" t="s">
        <v>551</v>
      </c>
      <c r="B27" s="478">
        <f t="shared" ca="1" si="2"/>
        <v>0</v>
      </c>
      <c r="C27" s="478">
        <f t="shared" ca="1" si="3"/>
        <v>0</v>
      </c>
      <c r="D27" s="478">
        <f t="shared" si="4"/>
        <v>0</v>
      </c>
      <c r="E27" s="478">
        <f t="shared" si="5"/>
        <v>0</v>
      </c>
      <c r="F27" s="478">
        <f t="shared" si="6"/>
        <v>0</v>
      </c>
      <c r="G27" s="478">
        <f t="shared" si="7"/>
        <v>232.05505545173946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232.05505545173946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0</v>
      </c>
      <c r="C31" s="488">
        <f t="shared" ca="1" si="18"/>
        <v>0</v>
      </c>
      <c r="D31" s="488">
        <f t="shared" ca="1" si="18"/>
        <v>3977.1223670591371</v>
      </c>
      <c r="E31" s="488">
        <f t="shared" si="18"/>
        <v>1286.4278509411099</v>
      </c>
      <c r="F31" s="488">
        <f t="shared" ca="1" si="18"/>
        <v>15021.334539262578</v>
      </c>
      <c r="G31" s="488">
        <f t="shared" si="18"/>
        <v>16302.638881088798</v>
      </c>
      <c r="H31" s="488">
        <f t="shared" si="18"/>
        <v>3308.9391259491795</v>
      </c>
      <c r="I31" s="488">
        <f t="shared" si="18"/>
        <v>0</v>
      </c>
      <c r="J31" s="488">
        <f t="shared" si="18"/>
        <v>432.68299729111635</v>
      </c>
      <c r="K31" s="488">
        <f t="shared" si="18"/>
        <v>0</v>
      </c>
      <c r="L31" s="488">
        <f t="shared" ca="1" si="18"/>
        <v>0</v>
      </c>
      <c r="M31" s="488">
        <f t="shared" si="18"/>
        <v>0</v>
      </c>
      <c r="N31" s="488">
        <f t="shared" ca="1" si="18"/>
        <v>0</v>
      </c>
      <c r="O31" s="488">
        <f t="shared" si="18"/>
        <v>0</v>
      </c>
      <c r="P31" s="489">
        <f t="shared" si="18"/>
        <v>0</v>
      </c>
      <c r="Q31" s="489">
        <f t="shared" ca="1" si="18"/>
        <v>40329.145761591921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2018-09-06T12:49:05Z</dcterms:modified>
</cp:coreProperties>
</file>