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49" l="1"/>
  <c r="C17" i="19"/>
  <c r="C19" s="1"/>
  <c r="D35" i="14" s="1"/>
  <c r="C29" i="20"/>
  <c r="C56" i="22"/>
  <c r="C58" s="1"/>
  <c r="D44" i="14" s="1"/>
  <c r="D46" s="1"/>
  <c r="Q5" i="48"/>
  <c r="C16" i="22"/>
  <c r="O13" i="14"/>
  <c r="O15" s="1"/>
  <c r="C10" i="13"/>
  <c r="C16" i="48" s="1"/>
  <c r="C30" s="1"/>
  <c r="F41" i="14"/>
  <c r="F53" s="1"/>
  <c r="C10" i="17"/>
  <c r="C12" s="1"/>
  <c r="D48" i="14" s="1"/>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C23" i="48"/>
  <c r="C24"/>
  <c r="C27"/>
  <c r="C28"/>
  <c r="C22"/>
  <c r="C25"/>
  <c r="C29"/>
  <c r="C21"/>
  <c r="C26"/>
  <c r="R13" i="14"/>
  <c r="R15" s="1"/>
  <c r="F25" i="48"/>
  <c r="F31" s="1"/>
  <c r="F14"/>
  <c r="D41" i="14" l="1"/>
  <c r="D53" s="1"/>
  <c r="D55" s="1"/>
  <c r="F55"/>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<sst xmlns="http://schemas.openxmlformats.org/spreadsheetml/2006/main" count="1932" uniqueCount="822">
  <si>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</si>
  <si>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</si>
  <si>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</si>
  <si>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</si>
  <si>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</si>
  <si>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</si>
  <si>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</si>
  <si>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</si>
  <si>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</si>
  <si>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</si>
  <si>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</si>
  <si>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</si>
  <si>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</si>
  <si>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</si>
  <si>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</si>
  <si>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</si>
  <si>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</si>
  <si>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</si>
  <si>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</si>
  <si>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</si>
  <si>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</si>
  <si>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</si>
  <si>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</si>
  <si>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</si>
  <si>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</si>
  <si>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</si>
  <si>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</si>
  <si>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</si>
  <si>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</si>
  <si>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</si>
  <si>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</si>
  <si>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</si>
  <si>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</si>
  <si>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</si>
  <si>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</si>
  <si>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</si>
  <si>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</si>
  <si>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</si>
  <si>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</si>
  <si>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</si>
  <si>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</si>
  <si>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</si>
  <si>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</si>
  <si>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</si>
  <si>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</si>
  <si>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</si>
  <si>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</si>
  <si>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</si>
  <si>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</si>
  <si>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</si>
  <si>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</si>
  <si>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</si>
  <si>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</si>
  <si>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</si>
  <si>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</si>
  <si>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</si>
  <si>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</si>
  <si>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</si>
  <si>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</si>
  <si>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</si>
  <si>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</si>
  <si>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</si>
  <si>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</si>
  <si>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</si>
  <si>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</si>
  <si>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</si>
  <si>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</si>
  <si>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</si>
  <si>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</si>
  <si>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</si>
  <si>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</si>
  <si>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</si>
  <si>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</si>
  <si>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</si>
  <si>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</si>
  <si>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</si>
  <si>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</si>
  <si>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</si>
  <si>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</si>
  <si>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</si>
  <si>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</si>
  <si>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</si>
  <si>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</si>
  <si>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</si>
  <si>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</si>
  <si>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</si>
  <si>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</si>
  <si>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</si>
  <si>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</si>
  <si>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</si>
  <si>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</si>
  <si>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</si>
  <si>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</si>
  <si>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</si>
  <si>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</si>
  <si>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</si>
  <si>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</si>
  <si>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</si>
  <si>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</si>
  <si>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</si>
  <si>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</si>
  <si>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</si>
  <si>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</si>
  <si>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</si>
  <si>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</si>
  <si>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</si>
  <si>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</si>
  <si>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</si>
  <si>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</si>
  <si>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</si>
  <si>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</si>
  <si>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</si>
  <si>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</si>
  <si>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</si>
  <si>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</si>
  <si>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</si>
  <si>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</si>
  <si>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</si>
  <si>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</si>
  <si>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</si>
  <si>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</si>
  <si>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</si>
  <si>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</si>
  <si>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</si>
  <si>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</si>
  <si>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</si>
  <si>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</si>
  <si>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</si>
  <si>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</si>
  <si>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</si>
  <si>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</si>
  <si>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</si>
  <si>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</si>
  <si>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</si>
  <si>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</si>
  <si>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</si>
  <si>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</si>
  <si>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</si>
  <si>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</si>
  <si>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</si>
  <si>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</si>
  <si>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</si>
  <si>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</si>
  <si>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</si>
  <si>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</si>
  <si>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</si>
  <si>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</si>
  <si>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</si>
  <si>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</si>
  <si>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</si>
  <si>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</si>
  <si>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</si>
  <si>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</si>
  <si>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</si>
  <si>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</si>
  <si>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</si>
  <si>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</si>
  <si>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</si>
  <si>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</si>
  <si>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</si>
  <si>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</si>
  <si>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</si>
  <si>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</si>
  <si>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</si>
  <si>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</si>
  <si>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</si>
  <si>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</si>
  <si>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</si>
  <si>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</si>
  <si>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</si>
  <si>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</si>
  <si>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</si>
  <si>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</si>
  <si>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</si>
  <si>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</si>
  <si>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</si>
  <si>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</si>
  <si>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</si>
  <si>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</si>
  <si>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</si>
  <si>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</si>
  <si>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</si>
  <si>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</si>
  <si>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</si>
  <si>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</si>
  <si>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</si>
  <si>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</si>
  <si>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</si>
  <si>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</si>
  <si>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</si>
  <si>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</si>
  <si>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</si>
  <si>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</si>
  <si>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</si>
  <si>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</si>
  <si>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</si>
  <si>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</si>
  <si>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</si>
  <si>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</si>
  <si>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</si>
  <si>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</si>
  <si>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</si>
  <si>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</si>
  <si>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</si>
  <si>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</si>
  <si>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</si>
  <si>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</si>
  <si>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</si>
  <si>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</si>
  <si>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</si>
  <si>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</si>
  <si>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</si>
  <si>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</si>
  <si>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</si>
  <si>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</si>
  <si>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</si>
  <si>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</si>
  <si>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</si>
  <si>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</si>
  <si>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</si>
  <si>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</si>
  <si>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</si>
  <si>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</si>
  <si>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</si>
  <si>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</si>
  <si>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</si>
  <si>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</si>
  <si>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</si>
  <si>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</si>
  <si>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</si>
  <si>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</si>
  <si>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</si>
  <si>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</si>
  <si>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</si>
  <si>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</si>
  <si>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</si>
  <si>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</si>
  <si>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</si>
  <si>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</si>
  <si>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</si>
  <si>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</si>
  <si>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</si>
  <si>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</si>
  <si>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</si>
  <si>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</si>
  <si>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</si>
  <si>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</si>
  <si>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</si>
  <si>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</si>
  <si>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</si>
  <si>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</si>
  <si>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</si>
  <si>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</si>
  <si>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</si>
  <si>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</si>
  <si>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</si>
  <si>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</si>
  <si>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</si>
  <si>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</si>
  <si>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</si>
  <si>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</si>
  <si>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</si>
  <si>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</si>
  <si>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</si>
  <si>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</si>
  <si>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</si>
  <si>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</si>
  <si>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</si>
  <si>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</si>
  <si>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</si>
  <si>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</si>
  <si>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</si>
  <si>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</si>
  <si>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</si>
  <si>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</si>
  <si>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</si>
  <si>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</si>
  <si>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</si>
  <si>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</si>
  <si>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</si>
  <si>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</si>
  <si>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</si>
  <si>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</si>
  <si>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</si>
  <si>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</si>
  <si>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</si>
  <si>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</si>
  <si>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</si>
  <si>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</si>
  <si>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</si>
  <si>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</si>
  <si>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</si>
  <si>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</si>
  <si>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</si>
  <si>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</si>
  <si>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</si>
  <si>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</si>
  <si>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</si>
  <si>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</si>
  <si>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</si>
  <si>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</si>
  <si>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</si>
  <si>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</si>
  <si>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</si>
  <si>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</si>
  <si>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</si>
  <si>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</si>
  <si>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</si>
  <si>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</si>
  <si>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</si>
  <si>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</si>
  <si>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</si>
  <si>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</si>
  <si>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</si>
  <si>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</si>
  <si>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</si>
  <si>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</si>
  <si>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</si>
  <si>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</si>
  <si>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</si>
  <si>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</si>
  <si>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</si>
  <si>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</si>
  <si>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</si>
  <si>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</si>
  <si>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</si>
  <si>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</si>
  <si>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</si>
  <si>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</si>
  <si>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</si>
  <si>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</si>
  <si>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</si>
  <si>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</si>
  <si>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</si>
  <si>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</si>
  <si>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</si>
  <si>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</si>
  <si>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</si>
  <si>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</si>
  <si>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</si>
  <si>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</si>
  <si>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</si>
  <si>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</si>
  <si>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</si>
  <si>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</si>
  <si>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</si>
  <si>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</si>
  <si>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</si>
  <si>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</si>
  <si>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</si>
  <si>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</si>
  <si>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</si>
  <si>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</si>
  <si>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</si>
  <si>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</si>
  <si>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</si>
  <si>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</si>
  <si>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</si>
  <si>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</si>
  <si>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</si>
  <si>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</si>
  <si>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</si>
  <si>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</si>
  <si>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</si>
  <si>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</si>
  <si>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</si>
  <si>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</si>
  <si>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</si>
  <si>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</si>
  <si>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</si>
  <si>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</si>
  <si>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</si>
  <si>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</si>
  <si>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</si>
  <si>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</si>
  <si>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</si>
  <si>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</si>
  <si>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</si>
  <si>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</si>
  <si>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</si>
  <si>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</si>
  <si>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</si>
  <si>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</si>
  <si>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</si>
  <si>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</si>
  <si>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</si>
  <si>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</si>
  <si>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</si>
  <si>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</si>
  <si>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</si>
  <si>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</si>
  <si>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</si>
  <si>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</si>
  <si>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</si>
  <si>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</si>
  <si>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</si>
  <si>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</si>
  <si>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</si>
  <si>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</si>
  <si>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</si>
  <si>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</si>
  <si>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</si>
  <si>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</si>
  <si>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</si>
  <si>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</si>
  <si>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</si>
  <si>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</si>
  <si>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</si>
  <si>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</si>
  <si>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</si>
  <si>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</si>
  <si>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</si>
  <si>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</si>
  <si>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</si>
  <si>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</si>
  <si>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</si>
  <si>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</si>
  <si>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</si>
  <si>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</si>
  <si>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</si>
  <si>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</si>
  <si>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</si>
  <si>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</si>
  <si>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</si>
  <si>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</si>
  <si>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</si>
  <si>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</si>
  <si>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</si>
  <si>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</si>
  <si>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</si>
  <si>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</si>
  <si>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</si>
  <si>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</si>
  <si>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</si>
  <si>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</si>
  <si>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</si>
  <si>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</si>
  <si>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</si>
  <si>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</si>
  <si>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</si>
  <si>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</si>
  <si>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</si>
  <si>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</si>
  <si>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</si>
  <si>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</si>
  <si>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</si>
  <si>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</si>
  <si>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</si>
  <si>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</si>
  <si>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</si>
  <si>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</si>
  <si>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</si>
  <si>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</si>
  <si>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</si>
  <si>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</si>
  <si>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</si>
  <si>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</si>
  <si>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</si>
  <si>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</si>
  <si>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</si>
  <si>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</si>
  <si>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</si>
  <si>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</si>
  <si>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</si>
  <si>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</si>
  <si>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</si>
  <si>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</si>
  <si>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</si>
  <si>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</si>
  <si>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</si>
  <si>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</si>
  <si>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</si>
  <si>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</si>
  <si>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</si>
  <si>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</si>
  <si>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</si>
  <si>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</si>
  <si>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</si>
  <si>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</si>
  <si>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</si>
  <si>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</si>
  <si>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</si>
  <si>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</si>
  <si>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</si>
  <si>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</si>
  <si>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</si>
  <si>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</si>
  <si>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</si>
  <si>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</si>
  <si>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</si>
  <si>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</si>
  <si>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</si>
  <si>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</si>
  <si>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</si>
  <si>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</si>
  <si>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</si>
  <si>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</si>
  <si>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</si>
  <si>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</si>
  <si>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</si>
  <si>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</si>
  <si>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</si>
  <si>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</si>
  <si>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</si>
  <si>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</si>
  <si>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</si>
  <si>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</si>
  <si>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</si>
  <si>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</si>
  <si>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</si>
  <si>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</si>
  <si>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</si>
  <si>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</si>
  <si>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</si>
  <si>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</si>
  <si>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</si>
  <si>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</si>
  <si>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</si>
  <si>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</si>
  <si>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</si>
  <si>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</si>
  <si>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</si>
  <si>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</si>
  <si>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</si>
  <si>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</si>
  <si>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</si>
  <si>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</si>
  <si>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</si>
  <si>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</si>
  <si>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</si>
  <si>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</si>
  <si>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</si>
  <si>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</si>
  <si>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</si>
  <si>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</si>
  <si>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</si>
  <si>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</si>
  <si>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</si>
  <si>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</si>
  <si>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</si>
  <si>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</si>
  <si>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</si>
  <si>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</si>
  <si>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</si>
  <si>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</si>
  <si>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</si>
  <si>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</si>
  <si>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</si>
  <si>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</si>
  <si>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</si>
  <si>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</si>
  <si>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</si>
  <si>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</si>
  <si>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</si>
  <si>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</si>
  <si>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</si>
  <si>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</si>
  <si>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</si>
  <si>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</si>
  <si>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</si>
  <si>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</si>
  <si>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</si>
  <si>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</si>
  <si>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</si>
  <si>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</si>
  <si>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</si>
  <si>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</si>
  <si>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</si>
  <si>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</si>
  <si>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</si>
  <si>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</si>
  <si>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</si>
  <si>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</si>
  <si>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</si>
  <si>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</si>
  <si>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</si>
  <si>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</si>
  <si>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</si>
  <si>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</si>
  <si>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</si>
  <si>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</si>
  <si>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</si>
  <si>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</si>
  <si>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</si>
  <si>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</si>
  <si>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</si>
  <si>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</si>
  <si>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</si>
  <si>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</si>
  <si>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</si>
  <si>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</si>
  <si>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</si>
  <si>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</si>
  <si>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</si>
  <si>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</si>
  <si>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</si>
  <si>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</si>
  <si>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</si>
  <si>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</si>
  <si>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</si>
  <si>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</si>
  <si>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</si>
  <si>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</si>
  <si>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</si>
  <si>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</si>
  <si>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</si>
  <si>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</si>
  <si>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</si>
  <si>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</si>
  <si>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</si>
  <si>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</si>
  <si>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</si>
  <si>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</si>
  <si>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</si>
  <si>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</si>
  <si>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</si>
  <si>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</si>
  <si>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</si>
  <si>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</si>
  <si>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</si>
  <si>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</si>
  <si>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</si>
  <si>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</si>
  <si>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</si>
  <si>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</si>
  <si>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</si>
  <si>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</si>
  <si>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</si>
  <si>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</si>
  <si>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</si>
  <si>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</si>
  <si>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</si>
  <si>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</si>
  <si>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</si>
  <si>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</si>
  <si>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</si>
  <si>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</si>
  <si>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</si>
  <si>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</si>
  <si>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</si>
  <si>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</si>
  <si>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</si>
  <si>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</si>
  <si>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</si>
  <si>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</si>
  <si>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</si>
  <si>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</si>
  <si>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</si>
  <si>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</si>
  <si>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</si>
  <si>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</si>
  <si>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</si>
  <si>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</si>
  <si>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</si>
  <si>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</si>
  <si>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</si>
  <si>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</si>
  <si>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</si>
  <si>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</si>
  <si>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</si>
  <si>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</si>
  <si>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</si>
  <si>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</si>
  <si>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</si>
  <si>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</si>
  <si>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</si>
  <si>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</si>
  <si>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</si>
  <si>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</si>
  <si>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</si>
  <si>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</si>
  <si>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</si>
  <si>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</si>
  <si>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</si>
  <si>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</si>
  <si>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</si>
  <si>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</si>
  <si>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</si>
  <si>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</si>
  <si>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</si>
  <si>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</si>
  <si>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</si>
  <si>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</si>
  <si>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</si>
  <si>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</si>
  <si>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</si>
  <si>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</si>
  <si>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</si>
  <si>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</si>
  <si>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</si>
  <si>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</si>
  <si>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</si>
  <si>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</si>
  <si>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</si>
  <si>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</si>
  <si>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</si>
  <si>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</si>
  <si>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</si>
  <si>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</si>
  <si>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</si>
  <si>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</si>
  <si>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</si>
  <si>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</si>
  <si>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</si>
  <si>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</si>
  <si>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</si>
  <si>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</si>
  <si>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</si>
  <si>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</si>
  <si>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</si>
  <si>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</si>
  <si>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</si>
  <si>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</si>
  <si>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</si>
  <si>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</si>
  <si>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</si>
  <si>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</si>
  <si>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</si>
  <si>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</si>
  <si>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</si>
  <si>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</si>
  <si>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</si>
  <si>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</si>
  <si>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</si>
  <si>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</si>
  <si>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</si>
  <si>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</si>
  <si>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</si>
  <si>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</si>
  <si>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</si>
  <si>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</si>
  <si>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</si>
  <si>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</si>
  <si>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</si>
  <si>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</si>
  <si>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</si>
  <si>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</si>
  <si>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</si>
  <si>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</si>
  <si>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</si>
  <si>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</si>
  <si>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</si>
  <si>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</si>
  <si>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</si>
  <si>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</si>
  <si>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</si>
  <si>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</si>
  <si>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</si>
  <si>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</si>
  <si>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</si>
  <si>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</si>
  <si>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</si>
  <si>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</si>
  <si>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</si>
  <si>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</si>
  <si>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</si>
  <si>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</si>
  <si>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</si>
  <si>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</si>
  <si>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</si>
  <si>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</si>
  <si>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</si>
  <si>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</si>
  <si>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</si>
  <si>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</si>
  <si>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</si>
  <si>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</si>
  <si>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</si>
  <si>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</si>
  <si>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</si>
  <si>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</si>
  <si>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</si>
  <si>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</si>
  <si>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</si>
  <si>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</si>
  <si>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</si>
  <si>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</si>
  <si>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</si>
  <si>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</si>
  <si>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</si>
  <si>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</si>
  <si>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</si>
  <si>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</si>
  <si>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</si>
  <si>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</si>
  <si>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</si>
  <si>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</si>
  <si>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</si>
  <si>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</si>
  <si>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</si>
  <si>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</si>
  <si>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</si>
  <si>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</si>
  <si>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</si>
  <si>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</si>
  <si>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</si>
  <si>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</si>
  <si>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</si>
  <si>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</si>
  <si>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</si>
  <si>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</si>
  <si>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71016</t>
  </si>
  <si>
    <t>GENK</t>
  </si>
  <si>
    <t>Eandis (januari 2018); Infrax (juni 2018)</t>
  </si>
  <si>
    <t>MOW (september 2017)</t>
  </si>
  <si>
    <t>referentietaak LNE (2017); Jaarverslag De Lijn (2016)</t>
  </si>
  <si>
    <t>VEA (april 2018)</t>
  </si>
  <si>
    <t>VEA (januari 2017)</t>
  </si>
  <si>
    <t>VEA (juni 2018)</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</si>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</sst>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441402.22827952524</c:v>
                </c:pt>
                <c:pt idx="1">
                  <c:v>309997.34836895269</c:v>
                </c:pt>
                <c:pt idx="2">
                  <c:v>4006.2060000000001</c:v>
                </c:pt>
                <c:pt idx="3">
                  <c:v>1942.3208867342387</c:v>
                </c:pt>
                <c:pt idx="4">
                  <c:v>537591.41329650453</c:v>
                </c:pt>
                <c:pt idx="5">
                  <c:v>362531.10667948896</c:v>
                </c:pt>
                <c:pt idx="6">
                  <c:v>15079.937375386628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0160"/>
      </c:barChart>
      <c:catAx>
        <c:axId val="156458368"/>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441402.22827952524</c:v>
                </c:pt>
                <c:pt idx="1">
                  <c:v>309997.34836895269</c:v>
                </c:pt>
                <c:pt idx="2">
                  <c:v>4006.2060000000001</c:v>
                </c:pt>
                <c:pt idx="3">
                  <c:v>1942.3208867342387</c:v>
                </c:pt>
                <c:pt idx="4">
                  <c:v>537591.41329650453</c:v>
                </c:pt>
                <c:pt idx="5">
                  <c:v>362531.10667948896</c:v>
                </c:pt>
                <c:pt idx="6">
                  <c:v>15079.937375386628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92053.37005706504</c:v>
                </c:pt>
                <c:pt idx="1">
                  <c:v>58931.996394456932</c:v>
                </c:pt>
                <c:pt idx="2">
                  <c:v>721.5457433629889</c:v>
                </c:pt>
                <c:pt idx="3">
                  <c:v>478.15455827851815</c:v>
                </c:pt>
                <c:pt idx="4">
                  <c:v>92666.40678377857</c:v>
                </c:pt>
                <c:pt idx="5">
                  <c:v>90764.146940483246</c:v>
                </c:pt>
                <c:pt idx="6">
                  <c:v>3809.9546731303521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0544"/>
        <c:axId val="156950528"/>
      </c:barChart>
      <c:catAx>
        <c:axId val="156940544"/>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4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92053.37005706504</c:v>
                </c:pt>
                <c:pt idx="1">
                  <c:v>58931.996394456932</c:v>
                </c:pt>
                <c:pt idx="2">
                  <c:v>721.5457433629889</c:v>
                </c:pt>
                <c:pt idx="3">
                  <c:v>478.15455827851815</c:v>
                </c:pt>
                <c:pt idx="4">
                  <c:v>92666.40678377857</c:v>
                </c:pt>
                <c:pt idx="5">
                  <c:v>90764.146940483246</c:v>
                </c:pt>
                <c:pt idx="6">
                  <c:v>3809.9546731303521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25742</v>
      </c>
      <c r="C9" s="342">
        <v>25945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378.24</v>
      </c>
    </row>
    <row r="15" spans="1:6">
      <c r="A15" s="348" t="s">
        <v>184</v>
      </c>
      <c r="B15" s="334">
        <v>0</v>
      </c>
    </row>
    <row r="16" spans="1:6">
      <c r="A16" s="348" t="s">
        <v>6</v>
      </c>
      <c r="B16" s="334">
        <v>0</v>
      </c>
    </row>
    <row r="17" spans="1:6">
      <c r="A17" s="348" t="s">
        <v>7</v>
      </c>
      <c r="B17" s="334">
        <v>6</v>
      </c>
    </row>
    <row r="18" spans="1:6">
      <c r="A18" s="348" t="s">
        <v>8</v>
      </c>
      <c r="B18" s="334">
        <v>8</v>
      </c>
    </row>
    <row r="19" spans="1:6">
      <c r="A19" s="348" t="s">
        <v>9</v>
      </c>
      <c r="B19" s="334">
        <v>3</v>
      </c>
    </row>
    <row r="20" spans="1:6">
      <c r="A20" s="348" t="s">
        <v>10</v>
      </c>
      <c r="B20" s="334">
        <v>17</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90</v>
      </c>
    </row>
    <row r="27" spans="1:6">
      <c r="A27" s="348" t="s">
        <v>17</v>
      </c>
      <c r="B27" s="334">
        <v>6</v>
      </c>
    </row>
    <row r="28" spans="1:6" s="356" customFormat="1">
      <c r="A28" s="355" t="s">
        <v>18</v>
      </c>
      <c r="B28" s="355">
        <v>29</v>
      </c>
    </row>
    <row r="29" spans="1:6">
      <c r="A29" s="355" t="s">
        <v>744</v>
      </c>
      <c r="B29" s="355">
        <v>63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47</v>
      </c>
      <c r="F36" s="334">
        <v>33118401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12486</v>
      </c>
      <c r="D39" s="334">
        <v>186496622.54999998</v>
      </c>
      <c r="E39" s="334">
        <v>26126</v>
      </c>
      <c r="F39" s="334">
        <v>109790893.55</v>
      </c>
    </row>
    <row r="40" spans="1:6">
      <c r="A40" s="348" t="s">
        <v>30</v>
      </c>
      <c r="B40" s="348" t="s">
        <v>29</v>
      </c>
      <c r="C40" s="334">
        <v>0</v>
      </c>
      <c r="D40" s="334">
        <v>0</v>
      </c>
      <c r="E40" s="334">
        <v>0</v>
      </c>
      <c r="F40" s="334">
        <v>0</v>
      </c>
    </row>
    <row r="41" spans="1:6">
      <c r="A41" s="348" t="s">
        <v>32</v>
      </c>
      <c r="B41" s="348" t="s">
        <v>33</v>
      </c>
      <c r="C41" s="334">
        <v>171</v>
      </c>
      <c r="D41" s="334">
        <v>14498132.749999998</v>
      </c>
      <c r="E41" s="334">
        <v>560</v>
      </c>
      <c r="F41" s="334">
        <v>118541020.15000001</v>
      </c>
    </row>
    <row r="42" spans="1:6">
      <c r="A42" s="348" t="s">
        <v>32</v>
      </c>
      <c r="B42" s="348" t="s">
        <v>34</v>
      </c>
      <c r="C42" s="334">
        <v>4</v>
      </c>
      <c r="D42" s="334">
        <v>8853846</v>
      </c>
      <c r="E42" s="334">
        <v>8</v>
      </c>
      <c r="F42" s="334">
        <v>44441556</v>
      </c>
    </row>
    <row r="43" spans="1:6">
      <c r="A43" s="348" t="s">
        <v>32</v>
      </c>
      <c r="B43" s="348" t="s">
        <v>35</v>
      </c>
      <c r="C43" s="334">
        <v>3</v>
      </c>
      <c r="D43" s="334">
        <v>830991</v>
      </c>
      <c r="E43" s="334">
        <v>3</v>
      </c>
      <c r="F43" s="334">
        <v>1160307</v>
      </c>
    </row>
    <row r="44" spans="1:6">
      <c r="A44" s="348" t="s">
        <v>32</v>
      </c>
      <c r="B44" s="348" t="s">
        <v>36</v>
      </c>
      <c r="C44" s="334">
        <v>38</v>
      </c>
      <c r="D44" s="334">
        <v>41282416</v>
      </c>
      <c r="E44" s="334">
        <v>72</v>
      </c>
      <c r="F44" s="334">
        <v>30244524</v>
      </c>
    </row>
    <row r="45" spans="1:6">
      <c r="A45" s="348" t="s">
        <v>32</v>
      </c>
      <c r="B45" s="348" t="s">
        <v>37</v>
      </c>
      <c r="C45" s="334">
        <v>6</v>
      </c>
      <c r="D45" s="334">
        <v>661145</v>
      </c>
      <c r="E45" s="334">
        <v>13</v>
      </c>
      <c r="F45" s="334">
        <v>697142</v>
      </c>
    </row>
    <row r="46" spans="1:6">
      <c r="A46" s="348" t="s">
        <v>32</v>
      </c>
      <c r="B46" s="348" t="s">
        <v>38</v>
      </c>
      <c r="C46" s="334">
        <v>0</v>
      </c>
      <c r="D46" s="334">
        <v>0</v>
      </c>
      <c r="E46" s="334">
        <v>0</v>
      </c>
      <c r="F46" s="334">
        <v>0</v>
      </c>
    </row>
    <row r="47" spans="1:6">
      <c r="A47" s="348" t="s">
        <v>32</v>
      </c>
      <c r="B47" s="348" t="s">
        <v>39</v>
      </c>
      <c r="C47" s="334">
        <v>12</v>
      </c>
      <c r="D47" s="334">
        <v>7604419</v>
      </c>
      <c r="E47" s="334">
        <v>15</v>
      </c>
      <c r="F47" s="334">
        <v>16691023</v>
      </c>
    </row>
    <row r="48" spans="1:6">
      <c r="A48" s="348" t="s">
        <v>32</v>
      </c>
      <c r="B48" s="348" t="s">
        <v>29</v>
      </c>
      <c r="C48" s="334">
        <v>0</v>
      </c>
      <c r="D48" s="334">
        <v>0</v>
      </c>
      <c r="E48" s="334">
        <v>0</v>
      </c>
      <c r="F48" s="334">
        <v>0</v>
      </c>
    </row>
    <row r="49" spans="1:6">
      <c r="A49" s="348" t="s">
        <v>32</v>
      </c>
      <c r="B49" s="348" t="s">
        <v>40</v>
      </c>
      <c r="C49" s="334">
        <v>9</v>
      </c>
      <c r="D49" s="334">
        <v>7448380</v>
      </c>
      <c r="E49" s="334">
        <v>11</v>
      </c>
      <c r="F49" s="334">
        <v>12150359</v>
      </c>
    </row>
    <row r="50" spans="1:6">
      <c r="A50" s="348" t="s">
        <v>32</v>
      </c>
      <c r="B50" s="348" t="s">
        <v>41</v>
      </c>
      <c r="C50" s="334">
        <v>11</v>
      </c>
      <c r="D50" s="334">
        <v>5999494</v>
      </c>
      <c r="E50" s="334">
        <v>33</v>
      </c>
      <c r="F50" s="334">
        <v>8400947</v>
      </c>
    </row>
    <row r="51" spans="1:6">
      <c r="A51" s="348" t="s">
        <v>42</v>
      </c>
      <c r="B51" s="348" t="s">
        <v>43</v>
      </c>
      <c r="C51" s="334">
        <v>12</v>
      </c>
      <c r="D51" s="334">
        <v>283273</v>
      </c>
      <c r="E51" s="334">
        <v>34</v>
      </c>
      <c r="F51" s="334">
        <v>315868.90000000002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4006206</v>
      </c>
    </row>
    <row r="55" spans="1:6">
      <c r="A55" s="348" t="s">
        <v>46</v>
      </c>
      <c r="B55" s="348" t="s">
        <v>29</v>
      </c>
      <c r="C55" s="334">
        <v>0</v>
      </c>
      <c r="D55" s="334">
        <v>0</v>
      </c>
      <c r="E55" s="334">
        <v>0</v>
      </c>
      <c r="F55" s="334">
        <v>0</v>
      </c>
    </row>
    <row r="56" spans="1:6">
      <c r="A56" s="348" t="s">
        <v>48</v>
      </c>
      <c r="B56" s="348" t="s">
        <v>29</v>
      </c>
      <c r="C56" s="334">
        <v>1</v>
      </c>
      <c r="D56" s="334">
        <v>9016</v>
      </c>
      <c r="E56" s="334">
        <v>18</v>
      </c>
      <c r="F56" s="334">
        <v>979436</v>
      </c>
    </row>
    <row r="57" spans="1:6">
      <c r="A57" s="348" t="s">
        <v>49</v>
      </c>
      <c r="B57" s="348" t="s">
        <v>50</v>
      </c>
      <c r="C57" s="334">
        <v>175</v>
      </c>
      <c r="D57" s="334">
        <v>14307126.500000002</v>
      </c>
      <c r="E57" s="334">
        <v>316</v>
      </c>
      <c r="F57" s="334">
        <v>16148331.950000001</v>
      </c>
    </row>
    <row r="58" spans="1:6">
      <c r="A58" s="348" t="s">
        <v>49</v>
      </c>
      <c r="B58" s="348" t="s">
        <v>51</v>
      </c>
      <c r="C58" s="334">
        <v>101</v>
      </c>
      <c r="D58" s="334">
        <v>12989044.6</v>
      </c>
      <c r="E58" s="334">
        <v>175</v>
      </c>
      <c r="F58" s="334">
        <v>27977083.149999999</v>
      </c>
    </row>
    <row r="59" spans="1:6">
      <c r="A59" s="348" t="s">
        <v>49</v>
      </c>
      <c r="B59" s="348" t="s">
        <v>52</v>
      </c>
      <c r="C59" s="334">
        <v>359</v>
      </c>
      <c r="D59" s="334">
        <v>29469748.100000005</v>
      </c>
      <c r="E59" s="334">
        <v>946</v>
      </c>
      <c r="F59" s="334">
        <v>46209017.649999969</v>
      </c>
    </row>
    <row r="60" spans="1:6">
      <c r="A60" s="348" t="s">
        <v>49</v>
      </c>
      <c r="B60" s="348" t="s">
        <v>53</v>
      </c>
      <c r="C60" s="334">
        <v>180</v>
      </c>
      <c r="D60" s="334">
        <v>14743802.6</v>
      </c>
      <c r="E60" s="334">
        <v>300</v>
      </c>
      <c r="F60" s="334">
        <v>11655106.950000001</v>
      </c>
    </row>
    <row r="61" spans="1:6">
      <c r="A61" s="348" t="s">
        <v>49</v>
      </c>
      <c r="B61" s="348" t="s">
        <v>54</v>
      </c>
      <c r="C61" s="334">
        <v>294</v>
      </c>
      <c r="D61" s="334">
        <v>37532242.350000001</v>
      </c>
      <c r="E61" s="334">
        <v>1205</v>
      </c>
      <c r="F61" s="334">
        <v>54495249.949999973</v>
      </c>
    </row>
    <row r="62" spans="1:6">
      <c r="A62" s="348" t="s">
        <v>49</v>
      </c>
      <c r="B62" s="348" t="s">
        <v>55</v>
      </c>
      <c r="C62" s="334">
        <v>47</v>
      </c>
      <c r="D62" s="334">
        <v>10206010</v>
      </c>
      <c r="E62" s="334">
        <v>70</v>
      </c>
      <c r="F62" s="334">
        <v>4839489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926637</v>
      </c>
      <c r="E68" s="334">
        <v>34</v>
      </c>
      <c r="F68" s="334">
        <v>3897035.8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174677750</v>
      </c>
      <c r="E73" s="476">
        <v>365270300.52731085</v>
      </c>
    </row>
    <row r="74" spans="1:6">
      <c r="A74" s="348" t="s">
        <v>64</v>
      </c>
      <c r="B74" s="348" t="s">
        <v>657</v>
      </c>
      <c r="C74" s="1213" t="s">
        <v>659</v>
      </c>
      <c r="D74" s="476">
        <v>9660945.4782432467</v>
      </c>
      <c r="E74" s="476">
        <v>29232180.127648827</v>
      </c>
    </row>
    <row r="75" spans="1:6">
      <c r="A75" s="348" t="s">
        <v>65</v>
      </c>
      <c r="B75" s="348" t="s">
        <v>656</v>
      </c>
      <c r="C75" s="1213" t="s">
        <v>660</v>
      </c>
      <c r="D75" s="476">
        <v>48584853</v>
      </c>
      <c r="E75" s="476">
        <v>92688896.622623146</v>
      </c>
    </row>
    <row r="76" spans="1:6">
      <c r="A76" s="348" t="s">
        <v>65</v>
      </c>
      <c r="B76" s="348" t="s">
        <v>657</v>
      </c>
      <c r="C76" s="1213" t="s">
        <v>661</v>
      </c>
      <c r="D76" s="476">
        <v>137278.80000000002</v>
      </c>
      <c r="E76" s="476">
        <v>1399040.8102196555</v>
      </c>
    </row>
    <row r="77" spans="1:6">
      <c r="A77" s="348" t="s">
        <v>66</v>
      </c>
      <c r="B77" s="348" t="s">
        <v>656</v>
      </c>
      <c r="C77" s="1213" t="s">
        <v>662</v>
      </c>
      <c r="D77" s="476">
        <v>164962955</v>
      </c>
      <c r="E77" s="476">
        <v>180127562.64136457</v>
      </c>
    </row>
    <row r="78" spans="1:6">
      <c r="A78" s="341" t="s">
        <v>66</v>
      </c>
      <c r="B78" s="341" t="s">
        <v>657</v>
      </c>
      <c r="C78" s="341" t="s">
        <v>663</v>
      </c>
      <c r="D78" s="1214">
        <v>30007154</v>
      </c>
      <c r="E78" s="1214">
        <v>32778679.392041236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4089931.0435135071</v>
      </c>
      <c r="C83" s="476">
        <v>4182154.5945313326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59162.844324610727</v>
      </c>
    </row>
    <row r="91" spans="1:6">
      <c r="A91" s="348" t="s">
        <v>68</v>
      </c>
      <c r="B91" s="334">
        <v>11275.497323991334</v>
      </c>
    </row>
    <row r="92" spans="1:6">
      <c r="A92" s="341" t="s">
        <v>69</v>
      </c>
      <c r="B92" s="342">
        <v>24328.371221092813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1</v>
      </c>
      <c r="C122" s="334">
        <v>0</v>
      </c>
    </row>
    <row r="123" spans="1:6">
      <c r="A123" s="348" t="s">
        <v>88</v>
      </c>
      <c r="B123" s="334">
        <v>57</v>
      </c>
      <c r="C123" s="334">
        <v>130</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812</v>
      </c>
    </row>
    <row r="130" spans="1:6">
      <c r="A130" s="348" t="s">
        <v>295</v>
      </c>
      <c r="B130" s="334">
        <v>3</v>
      </c>
    </row>
    <row r="131" spans="1:6">
      <c r="A131" s="348" t="s">
        <v>296</v>
      </c>
      <c r="B131" s="334">
        <v>5</v>
      </c>
    </row>
    <row r="132" spans="1:6">
      <c r="A132" s="341" t="s">
        <v>297</v>
      </c>
      <c r="B132" s="342">
        <v>86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520879.85179488244</v>
      </c>
      <c r="C3" s="43" t="s">
        <v>170</v>
      </c>
      <c r="D3" s="43"/>
      <c r="E3" s="154"/>
      <c r="F3" s="43"/>
      <c r="G3" s="43"/>
      <c r="H3" s="43"/>
      <c r="I3" s="43"/>
      <c r="J3" s="43"/>
      <c r="K3" s="96"/>
    </row>
    <row r="4" spans="1:11">
      <c r="A4" s="383" t="s">
        <v>171</v>
      </c>
      <c r="B4" s="49">
        <f>IF(ISERROR('SEAP template'!B69),0,'SEAP template'!B69)</f>
        <v>96454.212869694864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0.18010699983051018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96.428571428571431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4006.2060000000001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4006.2060000000001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0.18010699983051018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721.5457433629889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109790.89354999999</v>
      </c>
      <c r="C5" s="17">
        <f>IF(ISERROR('Eigen informatie GS &amp; warmtenet'!B57),0,'Eigen informatie GS &amp; warmtenet'!B57)</f>
        <v>0</v>
      </c>
      <c r="D5" s="30">
        <f>(SUM(HH_hh_gas_kWh,HH_rest_gas_kWh)/1000)*0.902</f>
        <v>168219.95354009999</v>
      </c>
      <c r="E5" s="17">
        <f>B46*B57</f>
        <v>2736.872378723117</v>
      </c>
      <c r="F5" s="17">
        <f>B51*B62</f>
        <v>133508.48303884736</v>
      </c>
      <c r="G5" s="18"/>
      <c r="H5" s="17"/>
      <c r="I5" s="17"/>
      <c r="J5" s="17">
        <f>B50*B61+C50*C61</f>
        <v>0</v>
      </c>
      <c r="K5" s="17"/>
      <c r="L5" s="17"/>
      <c r="M5" s="17"/>
      <c r="N5" s="17">
        <f>B48*B59+C48*C59</f>
        <v>11626.948447863484</v>
      </c>
      <c r="O5" s="17">
        <f>B69*B70*B71</f>
        <v>1478.9133333333334</v>
      </c>
      <c r="P5" s="17">
        <f>B77*B78*B79/1000-B77*B78*B79/1000/B80</f>
        <v>2764.6666666666665</v>
      </c>
    </row>
    <row r="6" spans="1:16">
      <c r="A6" s="16" t="s">
        <v>621</v>
      </c>
      <c r="B6" s="843">
        <f>kWh_PV_kleiner_dan_10kW</f>
        <v>11275.497323991334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121066.39087399133</v>
      </c>
      <c r="C8" s="21">
        <f>C5</f>
        <v>0</v>
      </c>
      <c r="D8" s="21">
        <f>D5</f>
        <v>168219.95354009999</v>
      </c>
      <c r="E8" s="21">
        <f>E5</f>
        <v>2736.872378723117</v>
      </c>
      <c r="F8" s="21">
        <f>F5</f>
        <v>133508.48303884736</v>
      </c>
      <c r="G8" s="21"/>
      <c r="H8" s="21"/>
      <c r="I8" s="21"/>
      <c r="J8" s="21">
        <f>J5</f>
        <v>0</v>
      </c>
      <c r="K8" s="21"/>
      <c r="L8" s="21">
        <f>L5</f>
        <v>0</v>
      </c>
      <c r="M8" s="21">
        <f>M5</f>
        <v>0</v>
      </c>
      <c r="N8" s="21">
        <f>N5</f>
        <v>11626.948447863484</v>
      </c>
      <c r="O8" s="21">
        <f>O5</f>
        <v>1478.9133333333334</v>
      </c>
      <c r="P8" s="21">
        <f>P5</f>
        <v>2764.6666666666665</v>
      </c>
    </row>
    <row r="9" spans="1:16">
      <c r="B9" s="19"/>
      <c r="C9" s="19"/>
      <c r="D9" s="258"/>
      <c r="E9" s="19"/>
      <c r="F9" s="19"/>
      <c r="G9" s="19"/>
      <c r="H9" s="19"/>
      <c r="I9" s="19"/>
      <c r="J9" s="19"/>
      <c r="K9" s="19"/>
      <c r="L9" s="19"/>
      <c r="M9" s="19"/>
      <c r="N9" s="19"/>
      <c r="O9" s="19"/>
      <c r="P9" s="19"/>
    </row>
    <row r="10" spans="1:16">
      <c r="A10" s="24" t="s">
        <v>214</v>
      </c>
      <c r="B10" s="25">
        <f ca="1">'EF ele_warmte'!B12</f>
        <v>0.18010699983051018</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21804.904440622435</v>
      </c>
      <c r="C12" s="23">
        <f ca="1">C10*C8</f>
        <v>0</v>
      </c>
      <c r="D12" s="23">
        <f>D8*D10</f>
        <v>33980.430615100202</v>
      </c>
      <c r="E12" s="23">
        <f>E10*E8</f>
        <v>621.27002997014756</v>
      </c>
      <c r="F12" s="23">
        <f>F10*F8</f>
        <v>35646.764971372249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794</v>
      </c>
      <c r="B28" s="37">
        <f>aantalHuishoudens2011</f>
        <v>25742</v>
      </c>
      <c r="C28" s="36"/>
      <c r="D28" s="228"/>
    </row>
    <row r="29" spans="1:7" s="15" customFormat="1">
      <c r="A29" s="230" t="s">
        <v>795</v>
      </c>
      <c r="B29" s="37">
        <f>SUM(HH_hh_gas_aantal,HH_rest_gas_aantal)</f>
        <v>12486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12486</v>
      </c>
      <c r="C32" s="167">
        <f>IF(ISERROR(B32/SUM($B$32,$B$34,$B$35,$B$36,$B$38,$B$39)*100),0,B32/SUM($B$32,$B$34,$B$35,$B$36,$B$38,$B$39)*100)</f>
        <v>48.779153807086765</v>
      </c>
      <c r="D32" s="233"/>
      <c r="G32" s="15"/>
    </row>
    <row r="33" spans="1:7">
      <c r="A33" s="171" t="s">
        <v>72</v>
      </c>
      <c r="B33" s="34" t="s">
        <v>111</v>
      </c>
      <c r="C33" s="167"/>
      <c r="D33" s="233"/>
      <c r="G33" s="15"/>
    </row>
    <row r="34" spans="1:7">
      <c r="A34" s="171" t="s">
        <v>73</v>
      </c>
      <c r="B34" s="33">
        <f>IF((($B$28-$B$32-$B$39-$B$77-$B$38)*C20/100)&lt;0,0,($B$28-$B$32-$B$39-$B$77-$B$38)*C20/100)</f>
        <v>129.25972840605519</v>
      </c>
      <c r="C34" s="167">
        <f>IF(ISERROR(B34/SUM($B$32,$B$34,$B$35,$B$36,$B$38,$B$39)*100),0,B34/SUM($B$32,$B$34,$B$35,$B$36,$B$38,$B$39)*100)</f>
        <v>0.5049799914288986</v>
      </c>
      <c r="D34" s="233"/>
      <c r="G34" s="15"/>
    </row>
    <row r="35" spans="1:7">
      <c r="A35" s="171" t="s">
        <v>74</v>
      </c>
      <c r="B35" s="33">
        <f>IF((($B$28-$B$32-$B$39-$B$77-$B$38)*C21/100)&lt;0,0,($B$28-$B$32-$B$39-$B$77-$B$38)*C21/100)</f>
        <v>7663.5082813891358</v>
      </c>
      <c r="C35" s="167">
        <f>IF(ISERROR(B35/SUM($B$32,$B$34,$B$35,$B$36,$B$38,$B$39)*100),0,B35/SUM($B$32,$B$34,$B$35,$B$36,$B$38,$B$39)*100)</f>
        <v>29.939087711017446</v>
      </c>
      <c r="D35" s="233"/>
      <c r="G35" s="15"/>
    </row>
    <row r="36" spans="1:7">
      <c r="A36" s="171" t="s">
        <v>75</v>
      </c>
      <c r="B36" s="33">
        <f>IF((($B$28-$B$32-$B$39-$B$77-$B$38)*C22/100)&lt;0,0,($B$28-$B$32-$B$39-$B$77-$B$38)*C22/100)</f>
        <v>161.13199020480857</v>
      </c>
      <c r="C36" s="167">
        <f>IF(ISERROR(B36/SUM($B$32,$B$34,$B$35,$B$36,$B$38,$B$39)*100),0,B36/SUM($B$32,$B$34,$B$35,$B$36,$B$38,$B$39)*100)</f>
        <v>0.62949560575383279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5157.0999999999995</v>
      </c>
      <c r="C39" s="167">
        <f>IF(ISERROR(B39/SUM($B$32,$B$34,$B$35,$B$36,$B$38,$B$39)*100),0,B39/SUM($B$32,$B$34,$B$35,$B$36,$B$38,$B$39)*100)</f>
        <v>20.14728288471305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12486</v>
      </c>
      <c r="C44" s="34" t="s">
        <v>111</v>
      </c>
      <c r="D44" s="174"/>
    </row>
    <row r="45" spans="1:7">
      <c r="A45" s="171" t="s">
        <v>72</v>
      </c>
      <c r="B45" s="33" t="str">
        <f t="shared" si="0"/>
        <v>-</v>
      </c>
      <c r="C45" s="34" t="s">
        <v>111</v>
      </c>
      <c r="D45" s="174"/>
    </row>
    <row r="46" spans="1:7">
      <c r="A46" s="171" t="s">
        <v>73</v>
      </c>
      <c r="B46" s="33">
        <f t="shared" si="0"/>
        <v>129.25972840605519</v>
      </c>
      <c r="C46" s="34" t="s">
        <v>111</v>
      </c>
      <c r="D46" s="174"/>
    </row>
    <row r="47" spans="1:7">
      <c r="A47" s="171" t="s">
        <v>74</v>
      </c>
      <c r="B47" s="33">
        <f t="shared" si="0"/>
        <v>7663.5082813891358</v>
      </c>
      <c r="C47" s="34" t="s">
        <v>111</v>
      </c>
      <c r="D47" s="174"/>
    </row>
    <row r="48" spans="1:7">
      <c r="A48" s="171" t="s">
        <v>75</v>
      </c>
      <c r="B48" s="33">
        <f t="shared" si="0"/>
        <v>161.13199020480857</v>
      </c>
      <c r="C48" s="33">
        <f>B48*10</f>
        <v>1611.3199020480856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5157.0999999999995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161324.27864999993</v>
      </c>
      <c r="C5" s="17">
        <f>IF(ISERROR('Eigen informatie GS &amp; warmtenet'!B58),0,'Eigen informatie GS &amp; warmtenet'!B58)</f>
        <v>0</v>
      </c>
      <c r="D5" s="30">
        <f>SUM(D6:D12)</f>
        <v>107561.67268330001</v>
      </c>
      <c r="E5" s="17">
        <f>SUM(E6:E12)</f>
        <v>1937.2560907216377</v>
      </c>
      <c r="F5" s="17">
        <f>SUM(F6:F12)</f>
        <v>27794.517167067559</v>
      </c>
      <c r="G5" s="18"/>
      <c r="H5" s="17"/>
      <c r="I5" s="17"/>
      <c r="J5" s="17">
        <f>SUM(J6:J12)</f>
        <v>0.35051698692108513</v>
      </c>
      <c r="K5" s="17"/>
      <c r="L5" s="17"/>
      <c r="M5" s="17"/>
      <c r="N5" s="17">
        <f>SUM(N6:N12)</f>
        <v>14278.616594209925</v>
      </c>
      <c r="O5" s="17">
        <f>B38*B39*B40</f>
        <v>4.6900000000000004</v>
      </c>
      <c r="P5" s="17">
        <f>B46*B47*B48/1000-B46*B47*B48/1000/B49</f>
        <v>133.46666666666667</v>
      </c>
      <c r="R5" s="32"/>
    </row>
    <row r="6" spans="1:18">
      <c r="A6" s="32" t="s">
        <v>54</v>
      </c>
      <c r="B6" s="37">
        <f>B26</f>
        <v>54495.249949999976</v>
      </c>
      <c r="C6" s="33"/>
      <c r="D6" s="37">
        <f>IF(ISERROR(TER_kantoor_gas_kWh/1000),0,TER_kantoor_gas_kWh/1000)*0.902</f>
        <v>33854.082599699999</v>
      </c>
      <c r="E6" s="33">
        <f>$C$26*'E Balans VL '!I12/100/3.6*1000000</f>
        <v>0.34155810185041752</v>
      </c>
      <c r="F6" s="33">
        <f>$C$26*('E Balans VL '!L12+'E Balans VL '!N12)/100/3.6*1000000</f>
        <v>8189.1133249717104</v>
      </c>
      <c r="G6" s="34"/>
      <c r="H6" s="33"/>
      <c r="I6" s="33"/>
      <c r="J6" s="33">
        <f>$C$26*('E Balans VL '!D12+'E Balans VL '!E12)/100/3.6*1000000</f>
        <v>0</v>
      </c>
      <c r="K6" s="33"/>
      <c r="L6" s="33"/>
      <c r="M6" s="33"/>
      <c r="N6" s="33">
        <f>$C$26*'E Balans VL '!Y12/100/3.6*1000000</f>
        <v>52.116626769658147</v>
      </c>
      <c r="O6" s="33"/>
      <c r="P6" s="33"/>
      <c r="R6" s="32"/>
    </row>
    <row r="7" spans="1:18">
      <c r="A7" s="32" t="s">
        <v>53</v>
      </c>
      <c r="B7" s="37">
        <f t="shared" ref="B7:B12" si="0">B27</f>
        <v>11655.106950000001</v>
      </c>
      <c r="C7" s="33"/>
      <c r="D7" s="37">
        <f>IF(ISERROR(TER_horeca_gas_kWh/1000),0,TER_horeca_gas_kWh/1000)*0.902</f>
        <v>13298.909945199999</v>
      </c>
      <c r="E7" s="33">
        <f>$C$27*'E Balans VL '!I9/100/3.6*1000000</f>
        <v>166.89919015378607</v>
      </c>
      <c r="F7" s="33">
        <f>$C$27*('E Balans VL '!L9+'E Balans VL '!N9)/100/3.6*1000000</f>
        <v>1475.9209401065625</v>
      </c>
      <c r="G7" s="34"/>
      <c r="H7" s="33"/>
      <c r="I7" s="33"/>
      <c r="J7" s="33">
        <f>$C$27*('E Balans VL '!D9+'E Balans VL '!E9)/100/3.6*1000000</f>
        <v>0</v>
      </c>
      <c r="K7" s="33"/>
      <c r="L7" s="33"/>
      <c r="M7" s="33"/>
      <c r="N7" s="33">
        <f>$C$27*'E Balans VL '!Y9/100/3.6*1000000</f>
        <v>3.350586275075234</v>
      </c>
      <c r="O7" s="33"/>
      <c r="P7" s="33"/>
      <c r="R7" s="32"/>
    </row>
    <row r="8" spans="1:18">
      <c r="A8" s="6" t="s">
        <v>52</v>
      </c>
      <c r="B8" s="37">
        <f t="shared" si="0"/>
        <v>46209.017649999965</v>
      </c>
      <c r="C8" s="33"/>
      <c r="D8" s="37">
        <f>IF(ISERROR(TER_handel_gas_kWh/1000),0,TER_handel_gas_kWh/1000)*0.902</f>
        <v>26581.712786200005</v>
      </c>
      <c r="E8" s="33">
        <f>$C$28*'E Balans VL '!I13/100/3.6*1000000</f>
        <v>1675.9953719247324</v>
      </c>
      <c r="F8" s="33">
        <f>$C$28*('E Balans VL '!L13+'E Balans VL '!N13)/100/3.6*1000000</f>
        <v>8900.3246954416009</v>
      </c>
      <c r="G8" s="34"/>
      <c r="H8" s="33"/>
      <c r="I8" s="33"/>
      <c r="J8" s="33">
        <f>$C$28*('E Balans VL '!D13+'E Balans VL '!E13)/100/3.6*1000000</f>
        <v>0</v>
      </c>
      <c r="K8" s="33"/>
      <c r="L8" s="33"/>
      <c r="M8" s="33"/>
      <c r="N8" s="33">
        <f>$C$28*'E Balans VL '!Y13/100/3.6*1000000</f>
        <v>64.010121666028368</v>
      </c>
      <c r="O8" s="33"/>
      <c r="P8" s="33"/>
      <c r="R8" s="32"/>
    </row>
    <row r="9" spans="1:18">
      <c r="A9" s="32" t="s">
        <v>51</v>
      </c>
      <c r="B9" s="37">
        <f t="shared" si="0"/>
        <v>27977.083149999999</v>
      </c>
      <c r="C9" s="33"/>
      <c r="D9" s="37">
        <f>IF(ISERROR(TER_gezond_gas_kWh/1000),0,TER_gezond_gas_kWh/1000)*0.902</f>
        <v>11716.118229199999</v>
      </c>
      <c r="E9" s="33">
        <f>$C$29*'E Balans VL '!I10/100/3.6*1000000</f>
        <v>1.7516416289833925</v>
      </c>
      <c r="F9" s="33">
        <f>$C$29*('E Balans VL '!L10+'E Balans VL '!N10)/100/3.6*1000000</f>
        <v>4156.080884038377</v>
      </c>
      <c r="G9" s="34"/>
      <c r="H9" s="33"/>
      <c r="I9" s="33"/>
      <c r="J9" s="33">
        <f>$C$29*('E Balans VL '!D10+'E Balans VL '!E10)/100/3.6*1000000</f>
        <v>0</v>
      </c>
      <c r="K9" s="33"/>
      <c r="L9" s="33"/>
      <c r="M9" s="33"/>
      <c r="N9" s="33">
        <f>$C$29*'E Balans VL '!Y10/100/3.6*1000000</f>
        <v>432.75222172196521</v>
      </c>
      <c r="O9" s="33"/>
      <c r="P9" s="33"/>
      <c r="R9" s="32"/>
    </row>
    <row r="10" spans="1:18">
      <c r="A10" s="32" t="s">
        <v>50</v>
      </c>
      <c r="B10" s="37">
        <f t="shared" si="0"/>
        <v>16148.331950000002</v>
      </c>
      <c r="C10" s="33"/>
      <c r="D10" s="37">
        <f>IF(ISERROR(TER_ander_gas_kWh/1000),0,TER_ander_gas_kWh/1000)*0.902</f>
        <v>12905.028103000002</v>
      </c>
      <c r="E10" s="33">
        <f>$C$30*'E Balans VL '!I14/100/3.6*1000000</f>
        <v>19.248234640519392</v>
      </c>
      <c r="F10" s="33">
        <f>$C$30*('E Balans VL '!L14+'E Balans VL '!N14)/100/3.6*1000000</f>
        <v>4225.1215365724975</v>
      </c>
      <c r="G10" s="34"/>
      <c r="H10" s="33"/>
      <c r="I10" s="33"/>
      <c r="J10" s="33">
        <f>$C$30*('E Balans VL '!D14+'E Balans VL '!E14)/100/3.6*1000000</f>
        <v>0.35051698692108513</v>
      </c>
      <c r="K10" s="33"/>
      <c r="L10" s="33"/>
      <c r="M10" s="33"/>
      <c r="N10" s="33">
        <f>$C$30*'E Balans VL '!Y14/100/3.6*1000000</f>
        <v>13712.768347819234</v>
      </c>
      <c r="O10" s="33"/>
      <c r="P10" s="33"/>
      <c r="R10" s="32"/>
    </row>
    <row r="11" spans="1:18">
      <c r="A11" s="32" t="s">
        <v>55</v>
      </c>
      <c r="B11" s="37">
        <f t="shared" si="0"/>
        <v>4839.4889999999996</v>
      </c>
      <c r="C11" s="33"/>
      <c r="D11" s="37">
        <f>IF(ISERROR(TER_onderwijs_gas_kWh/1000),0,TER_onderwijs_gas_kWh/1000)*0.902</f>
        <v>9205.8210200000012</v>
      </c>
      <c r="E11" s="33">
        <f>$C$31*'E Balans VL '!I11/100/3.6*1000000</f>
        <v>73.020094271766212</v>
      </c>
      <c r="F11" s="33">
        <f>$C$31*('E Balans VL '!L11+'E Balans VL '!N11)/100/3.6*1000000</f>
        <v>847.95578593681489</v>
      </c>
      <c r="G11" s="34"/>
      <c r="H11" s="33"/>
      <c r="I11" s="33"/>
      <c r="J11" s="33">
        <f>$C$31*('E Balans VL '!D11+'E Balans VL '!E11)/100/3.6*1000000</f>
        <v>0</v>
      </c>
      <c r="K11" s="33"/>
      <c r="L11" s="33"/>
      <c r="M11" s="33"/>
      <c r="N11" s="33">
        <f>$C$31*'E Balans VL '!Y11/100/3.6*1000000</f>
        <v>13.618689957964557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1687.5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-4628.5714285714284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163011.77864999993</v>
      </c>
      <c r="C16" s="21">
        <f t="shared" ca="1" si="1"/>
        <v>96.428571428571431</v>
      </c>
      <c r="D16" s="21">
        <f t="shared" ca="1" si="1"/>
        <v>107368.81554044287</v>
      </c>
      <c r="E16" s="21">
        <f t="shared" si="1"/>
        <v>1937.2560907216377</v>
      </c>
      <c r="F16" s="21">
        <f t="shared" ca="1" si="1"/>
        <v>27794.517167067559</v>
      </c>
      <c r="G16" s="21">
        <f t="shared" si="1"/>
        <v>0</v>
      </c>
      <c r="H16" s="21">
        <f t="shared" si="1"/>
        <v>0</v>
      </c>
      <c r="I16" s="21">
        <f t="shared" si="1"/>
        <v>0</v>
      </c>
      <c r="J16" s="21">
        <f t="shared" si="1"/>
        <v>0.35051698692108513</v>
      </c>
      <c r="K16" s="21">
        <f t="shared" si="1"/>
        <v>0</v>
      </c>
      <c r="L16" s="21">
        <f t="shared" ca="1" si="1"/>
        <v>0</v>
      </c>
      <c r="M16" s="21">
        <f t="shared" si="1"/>
        <v>0</v>
      </c>
      <c r="N16" s="21">
        <f t="shared" ca="1" si="1"/>
        <v>9650.0451656384976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0.18010699983051018</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29359.5623896867</v>
      </c>
      <c r="C20" s="23">
        <f t="shared" ref="C20:P20" ca="1" si="2">C16*C18</f>
        <v>22.915966386554619</v>
      </c>
      <c r="D20" s="23">
        <f t="shared" ca="1" si="2"/>
        <v>21688.50073916946</v>
      </c>
      <c r="E20" s="23">
        <f t="shared" si="2"/>
        <v>439.75713259381178</v>
      </c>
      <c r="F20" s="23">
        <f t="shared" ca="1" si="2"/>
        <v>7421.1360836070389</v>
      </c>
      <c r="G20" s="23">
        <f t="shared" si="2"/>
        <v>0</v>
      </c>
      <c r="H20" s="23">
        <f t="shared" si="2"/>
        <v>0</v>
      </c>
      <c r="I20" s="23">
        <f t="shared" si="2"/>
        <v>0</v>
      </c>
      <c r="J20" s="23">
        <f t="shared" si="2"/>
        <v>0.12408301337006412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54495.249949999976</v>
      </c>
      <c r="C26" s="39">
        <f>IF(ISERROR(B26*3.6/1000000/'E Balans VL '!Z12*100),0,B26*3.6/1000000/'E Balans VL '!Z12*100)</f>
        <v>1.1519432564939729</v>
      </c>
      <c r="D26" s="237" t="s">
        <v>754</v>
      </c>
      <c r="F26" s="6"/>
    </row>
    <row r="27" spans="1:18">
      <c r="A27" s="231" t="s">
        <v>53</v>
      </c>
      <c r="B27" s="33">
        <f>IF(ISERROR(TER_horeca_ele_kWh/1000),0,TER_horeca_ele_kWh/1000)</f>
        <v>11655.106950000001</v>
      </c>
      <c r="C27" s="39">
        <f>IF(ISERROR(B27*3.6/1000000/'E Balans VL '!Z9*100),0,B27*3.6/1000000/'E Balans VL '!Z9*100)</f>
        <v>0.91876773678836665</v>
      </c>
      <c r="D27" s="237" t="s">
        <v>754</v>
      </c>
      <c r="F27" s="6"/>
    </row>
    <row r="28" spans="1:18">
      <c r="A28" s="171" t="s">
        <v>52</v>
      </c>
      <c r="B28" s="33">
        <f>IF(ISERROR(TER_handel_ele_kWh/1000),0,TER_handel_ele_kWh/1000)</f>
        <v>46209.017649999965</v>
      </c>
      <c r="C28" s="39">
        <f>IF(ISERROR(B28*3.6/1000000/'E Balans VL '!Z13*100),0,B28*3.6/1000000/'E Balans VL '!Z13*100)</f>
        <v>1.3411723975557794</v>
      </c>
      <c r="D28" s="237" t="s">
        <v>754</v>
      </c>
      <c r="F28" s="6"/>
    </row>
    <row r="29" spans="1:18">
      <c r="A29" s="231" t="s">
        <v>51</v>
      </c>
      <c r="B29" s="33">
        <f>IF(ISERROR(TER_gezond_ele_kWh/1000),0,TER_gezond_ele_kWh/1000)</f>
        <v>27977.083149999999</v>
      </c>
      <c r="C29" s="39">
        <f>IF(ISERROR(B29*3.6/1000000/'E Balans VL '!Z10*100),0,B29*3.6/1000000/'E Balans VL '!Z10*100)</f>
        <v>2.9464462515265968</v>
      </c>
      <c r="D29" s="237" t="s">
        <v>754</v>
      </c>
      <c r="F29" s="6"/>
    </row>
    <row r="30" spans="1:18">
      <c r="A30" s="231" t="s">
        <v>50</v>
      </c>
      <c r="B30" s="33">
        <f>IF(ISERROR(TER_ander_ele_kWh/1000),0,TER_ander_ele_kWh/1000)</f>
        <v>16148.331950000002</v>
      </c>
      <c r="C30" s="39">
        <f>IF(ISERROR(B30*3.6/1000000/'E Balans VL '!Z14*100),0,B30*3.6/1000000/'E Balans VL '!Z14*100)</f>
        <v>1.1911044720322526</v>
      </c>
      <c r="D30" s="237" t="s">
        <v>754</v>
      </c>
      <c r="F30" s="6"/>
    </row>
    <row r="31" spans="1:18">
      <c r="A31" s="231" t="s">
        <v>55</v>
      </c>
      <c r="B31" s="33">
        <f>IF(ISERROR(TER_onderwijs_ele_kWh/1000),0,TER_onderwijs_ele_kWh/1000)</f>
        <v>4839.4889999999996</v>
      </c>
      <c r="C31" s="39">
        <f>IF(ISERROR(B31*3.6/1000000/'E Balans VL '!Z11*100),0,B31*3.6/1000000/'E Balans VL '!Z11*100)</f>
        <v>1.2018718137152964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232326.87814999995</v>
      </c>
      <c r="C5" s="17">
        <f>IF(ISERROR('Eigen informatie GS &amp; warmtenet'!B59),0,'Eigen informatie GS &amp; warmtenet'!B59)</f>
        <v>0</v>
      </c>
      <c r="D5" s="30">
        <f>SUM(D6:D15)</f>
        <v>78635.299022499996</v>
      </c>
      <c r="E5" s="17">
        <f>SUM(E6:E15)</f>
        <v>35137.065349301971</v>
      </c>
      <c r="F5" s="17">
        <f>SUM(F6:F15)</f>
        <v>100977.32648680289</v>
      </c>
      <c r="G5" s="18"/>
      <c r="H5" s="17"/>
      <c r="I5" s="17"/>
      <c r="J5" s="17">
        <f>SUM(J6:J15)</f>
        <v>3.7270377984311915</v>
      </c>
      <c r="K5" s="17"/>
      <c r="L5" s="17"/>
      <c r="M5" s="17"/>
      <c r="N5" s="17">
        <f>SUM(N6:N15)</f>
        <v>90511.117250101292</v>
      </c>
      <c r="O5" s="17">
        <f>B43*B44*B45</f>
        <v>0</v>
      </c>
      <c r="P5" s="17">
        <f>B51*B52*B53/1000-B51*B52*B53/1000/B54</f>
        <v>0</v>
      </c>
      <c r="R5" s="32"/>
    </row>
    <row r="6" spans="1:18">
      <c r="A6" s="6" t="s">
        <v>35</v>
      </c>
      <c r="B6" s="37">
        <f>IF( ISERROR(IND_ijzer_ele_kWh/1000),0,IND_ijzer_ele_kWh/1000)</f>
        <v>1160.307</v>
      </c>
      <c r="C6" s="33"/>
      <c r="D6" s="37">
        <f>IF( ISERROR(IND_ijzer_gas_kWh/1000),0,IND_ijzer_gas_kWh/1000)*0.902</f>
        <v>749.55388200000004</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30244.524000000001</v>
      </c>
      <c r="C8" s="33"/>
      <c r="D8" s="37">
        <f>IF( ISERROR(IND_metaal_Gas_kWH/1000),0,IND_metaal_Gas_kWH/1000)*0.902</f>
        <v>37236.739232</v>
      </c>
      <c r="E8" s="33">
        <f>C30*'E Balans VL '!I18/100/3.6*1000000</f>
        <v>278.06918774092867</v>
      </c>
      <c r="F8" s="33">
        <f>C30*'E Balans VL '!L18/100/3.6*1000000+C30*'E Balans VL '!N18/100/3.6*1000000</f>
        <v>2835.9294090687417</v>
      </c>
      <c r="G8" s="34"/>
      <c r="H8" s="33"/>
      <c r="I8" s="33"/>
      <c r="J8" s="40">
        <f>C30*'E Balans VL '!D18/100/3.6*1000000+C30*'E Balans VL '!E18/100/3.6*1000000</f>
        <v>0</v>
      </c>
      <c r="K8" s="33"/>
      <c r="L8" s="33"/>
      <c r="M8" s="33"/>
      <c r="N8" s="33">
        <f>C30*'E Balans VL '!Y18/100/3.6*1000000</f>
        <v>431.48811604067004</v>
      </c>
      <c r="O8" s="33"/>
      <c r="P8" s="33"/>
      <c r="R8" s="32"/>
    </row>
    <row r="9" spans="1:18">
      <c r="A9" s="6" t="s">
        <v>33</v>
      </c>
      <c r="B9" s="37">
        <f t="shared" si="0"/>
        <v>118541.02015000001</v>
      </c>
      <c r="C9" s="33"/>
      <c r="D9" s="37">
        <f>IF( ISERROR(IND_andere_gas_kWh/1000),0,IND_andere_gas_kWh/1000)*0.902</f>
        <v>13077.3157405</v>
      </c>
      <c r="E9" s="33">
        <f>C31*'E Balans VL '!I19/100/3.6*1000000</f>
        <v>34651.847911313147</v>
      </c>
      <c r="F9" s="33">
        <f>C31*'E Balans VL '!L19/100/3.6*1000000+C31*'E Balans VL '!N19/100/3.6*1000000</f>
        <v>95256.68242128272</v>
      </c>
      <c r="G9" s="34"/>
      <c r="H9" s="33"/>
      <c r="I9" s="33"/>
      <c r="J9" s="40">
        <f>C31*'E Balans VL '!D19/100/3.6*1000000+C31*'E Balans VL '!E19/100/3.6*1000000</f>
        <v>0</v>
      </c>
      <c r="K9" s="33"/>
      <c r="L9" s="33"/>
      <c r="M9" s="33"/>
      <c r="N9" s="33">
        <f>C31*'E Balans VL '!Y19/100/3.6*1000000</f>
        <v>39167.791498436956</v>
      </c>
      <c r="O9" s="33"/>
      <c r="P9" s="33"/>
      <c r="R9" s="32"/>
    </row>
    <row r="10" spans="1:18">
      <c r="A10" s="6" t="s">
        <v>41</v>
      </c>
      <c r="B10" s="37">
        <f t="shared" si="0"/>
        <v>8400.9470000000001</v>
      </c>
      <c r="C10" s="33"/>
      <c r="D10" s="37">
        <f>IF( ISERROR(IND_voed_gas_kWh/1000),0,IND_voed_gas_kWh/1000)*0.902</f>
        <v>5411.5435879999995</v>
      </c>
      <c r="E10" s="33">
        <f>C32*'E Balans VL '!I20/100/3.6*1000000</f>
        <v>17.772333636725996</v>
      </c>
      <c r="F10" s="33">
        <f>C32*'E Balans VL '!L20/100/3.6*1000000+C32*'E Balans VL '!N20/100/3.6*1000000</f>
        <v>534.14079157571723</v>
      </c>
      <c r="G10" s="34"/>
      <c r="H10" s="33"/>
      <c r="I10" s="33"/>
      <c r="J10" s="40">
        <f>C32*'E Balans VL '!D20/100/3.6*1000000+C32*'E Balans VL '!E20/100/3.6*1000000</f>
        <v>0</v>
      </c>
      <c r="K10" s="33"/>
      <c r="L10" s="33"/>
      <c r="M10" s="33"/>
      <c r="N10" s="33">
        <f>C32*'E Balans VL '!Y20/100/3.6*1000000</f>
        <v>579.74824557068564</v>
      </c>
      <c r="O10" s="33"/>
      <c r="P10" s="33"/>
      <c r="R10" s="32"/>
    </row>
    <row r="11" spans="1:18">
      <c r="A11" s="6" t="s">
        <v>40</v>
      </c>
      <c r="B11" s="37">
        <f t="shared" si="0"/>
        <v>12150.359</v>
      </c>
      <c r="C11" s="33"/>
      <c r="D11" s="37">
        <f>IF( ISERROR(IND_textiel_gas_kWh/1000),0,IND_textiel_gas_kWh/1000)*0.902</f>
        <v>6718.43876</v>
      </c>
      <c r="E11" s="33">
        <f>C33*'E Balans VL '!I21/100/3.6*1000000</f>
        <v>36.085518667668133</v>
      </c>
      <c r="F11" s="33">
        <f>C33*'E Balans VL '!L21/100/3.6*1000000+C33*'E Balans VL '!N21/100/3.6*1000000</f>
        <v>1227.5198363728753</v>
      </c>
      <c r="G11" s="34"/>
      <c r="H11" s="33"/>
      <c r="I11" s="33"/>
      <c r="J11" s="40">
        <f>C33*'E Balans VL '!D21/100/3.6*1000000+C33*'E Balans VL '!E21/100/3.6*1000000</f>
        <v>0</v>
      </c>
      <c r="K11" s="33"/>
      <c r="L11" s="33"/>
      <c r="M11" s="33"/>
      <c r="N11" s="33">
        <f>C33*'E Balans VL '!Y21/100/3.6*1000000</f>
        <v>670.13107494984934</v>
      </c>
      <c r="O11" s="33"/>
      <c r="P11" s="33"/>
      <c r="R11" s="32"/>
    </row>
    <row r="12" spans="1:18">
      <c r="A12" s="6" t="s">
        <v>37</v>
      </c>
      <c r="B12" s="37">
        <f t="shared" si="0"/>
        <v>697.14200000000005</v>
      </c>
      <c r="C12" s="33"/>
      <c r="D12" s="37">
        <f>IF( ISERROR(IND_min_gas_kWh/1000),0,IND_min_gas_kWh/1000)*0.902</f>
        <v>596.35279000000003</v>
      </c>
      <c r="E12" s="33">
        <f>C34*'E Balans VL '!I22/100/3.6*1000000</f>
        <v>20.207275983392368</v>
      </c>
      <c r="F12" s="33">
        <f>C34*'E Balans VL '!L22/100/3.6*1000000+C34*'E Balans VL '!N22/100/3.6*1000000</f>
        <v>239.68529748017511</v>
      </c>
      <c r="G12" s="34"/>
      <c r="H12" s="33"/>
      <c r="I12" s="33"/>
      <c r="J12" s="40">
        <f>C34*'E Balans VL '!D22/100/3.6*1000000+C34*'E Balans VL '!E22/100/3.6*1000000</f>
        <v>1.1456143866080719</v>
      </c>
      <c r="K12" s="33"/>
      <c r="L12" s="33"/>
      <c r="M12" s="33"/>
      <c r="N12" s="33">
        <f>C34*'E Balans VL '!Y22/100/3.6*1000000</f>
        <v>152.61584013755274</v>
      </c>
      <c r="O12" s="33"/>
      <c r="P12" s="33"/>
      <c r="R12" s="32"/>
    </row>
    <row r="13" spans="1:18">
      <c r="A13" s="6" t="s">
        <v>39</v>
      </c>
      <c r="B13" s="37">
        <f t="shared" si="0"/>
        <v>16691.023000000001</v>
      </c>
      <c r="C13" s="33"/>
      <c r="D13" s="37">
        <f>IF( ISERROR(IND_papier_gas_kWh/1000),0,IND_papier_gas_kWh/1000)*0.902</f>
        <v>6859.1859379999996</v>
      </c>
      <c r="E13" s="33">
        <f>C35*'E Balans VL '!I23/100/3.6*1000000</f>
        <v>23.680744429672799</v>
      </c>
      <c r="F13" s="33">
        <f>C35*'E Balans VL '!L23/100/3.6*1000000+C35*'E Balans VL '!N23/100/3.6*1000000</f>
        <v>407.49063372304181</v>
      </c>
      <c r="G13" s="34"/>
      <c r="H13" s="33"/>
      <c r="I13" s="33"/>
      <c r="J13" s="40">
        <f>C35*'E Balans VL '!D23/100/3.6*1000000+C35*'E Balans VL '!E23/100/3.6*1000000</f>
        <v>2.5814234118231196</v>
      </c>
      <c r="K13" s="33"/>
      <c r="L13" s="33"/>
      <c r="M13" s="33"/>
      <c r="N13" s="33">
        <f>C35*'E Balans VL '!Y23/100/3.6*1000000</f>
        <v>48516.852824472793</v>
      </c>
      <c r="O13" s="33"/>
      <c r="P13" s="33"/>
      <c r="R13" s="32"/>
    </row>
    <row r="14" spans="1:18">
      <c r="A14" s="6" t="s">
        <v>34</v>
      </c>
      <c r="B14" s="37">
        <f t="shared" si="0"/>
        <v>44441.555999999997</v>
      </c>
      <c r="C14" s="33"/>
      <c r="D14" s="37">
        <f>IF( ISERROR(IND_chemie_gas_kWh/1000),0,IND_chemie_gas_kWh/1000)*0.902</f>
        <v>7986.1690920000001</v>
      </c>
      <c r="E14" s="33">
        <f>C36*'E Balans VL '!I24/100/3.6*1000000</f>
        <v>109.40237753044013</v>
      </c>
      <c r="F14" s="33">
        <f>C36*'E Balans VL '!L24/100/3.6*1000000+C36*'E Balans VL '!N24/100/3.6*1000000</f>
        <v>475.87809729962811</v>
      </c>
      <c r="G14" s="34"/>
      <c r="H14" s="33"/>
      <c r="I14" s="33"/>
      <c r="J14" s="40">
        <f>C36*'E Balans VL '!D24/100/3.6*1000000+C36*'E Balans VL '!E24/100/3.6*1000000</f>
        <v>0</v>
      </c>
      <c r="K14" s="33"/>
      <c r="L14" s="33"/>
      <c r="M14" s="33"/>
      <c r="N14" s="33">
        <f>C36*'E Balans VL '!Y24/100/3.6*1000000</f>
        <v>992.48965049279593</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232326.87814999995</v>
      </c>
      <c r="C18" s="21">
        <f>C5+C16</f>
        <v>0</v>
      </c>
      <c r="D18" s="21">
        <f>MAX((D5+D16),0)</f>
        <v>78635.299022499996</v>
      </c>
      <c r="E18" s="21">
        <f>MAX((E5+E16),0)</f>
        <v>35137.065349301971</v>
      </c>
      <c r="F18" s="21">
        <f>MAX((F5+F16),0)</f>
        <v>100977.32648680289</v>
      </c>
      <c r="G18" s="21"/>
      <c r="H18" s="21"/>
      <c r="I18" s="21"/>
      <c r="J18" s="21">
        <f>MAX((J5+J16),0)</f>
        <v>3.7270377984311915</v>
      </c>
      <c r="K18" s="21"/>
      <c r="L18" s="21">
        <f>MAX((L5+L16),0)</f>
        <v>0</v>
      </c>
      <c r="M18" s="21"/>
      <c r="N18" s="21">
        <f>MAX((N5+N16),0)</f>
        <v>90511.117250101292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0.18010699983051018</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41843.697003585003</v>
      </c>
      <c r="C22" s="23">
        <f ca="1">C18*C20</f>
        <v>0</v>
      </c>
      <c r="D22" s="23">
        <f>D18*D20</f>
        <v>15884.330402545</v>
      </c>
      <c r="E22" s="23">
        <f>E18*E20</f>
        <v>7976.1138342915474</v>
      </c>
      <c r="F22" s="23">
        <f>F18*F20</f>
        <v>26960.946171976375</v>
      </c>
      <c r="G22" s="23"/>
      <c r="H22" s="23"/>
      <c r="I22" s="23"/>
      <c r="J22" s="23">
        <f>J18*J20</f>
        <v>1.3193713806446417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30244.524000000001</v>
      </c>
      <c r="C30" s="39">
        <f>IF(ISERROR(B30*3.6/1000000/'E Balans VL '!Z18*100),0,B30*3.6/1000000/'E Balans VL '!Z18*100)</f>
        <v>1.7140347271118146</v>
      </c>
      <c r="D30" s="237" t="s">
        <v>754</v>
      </c>
    </row>
    <row r="31" spans="1:18">
      <c r="A31" s="6" t="s">
        <v>33</v>
      </c>
      <c r="B31" s="37">
        <f>IF( ISERROR(IND_ander_ele_kWh/1000),0,IND_ander_ele_kWh/1000)</f>
        <v>118541.02015000001</v>
      </c>
      <c r="C31" s="39">
        <f>IF(ISERROR(B31*3.6/1000000/'E Balans VL '!Z19*100),0,B31*3.6/1000000/'E Balans VL '!Z19*100)</f>
        <v>5.3765270777869869</v>
      </c>
      <c r="D31" s="237" t="s">
        <v>754</v>
      </c>
    </row>
    <row r="32" spans="1:18">
      <c r="A32" s="171" t="s">
        <v>41</v>
      </c>
      <c r="B32" s="37">
        <f>IF( ISERROR(IND_voed_ele_kWh/1000),0,IND_voed_ele_kWh/1000)</f>
        <v>8400.9470000000001</v>
      </c>
      <c r="C32" s="39">
        <f>IF(ISERROR(B32*3.6/1000000/'E Balans VL '!Z20*100),0,B32*3.6/1000000/'E Balans VL '!Z20*100)</f>
        <v>0.25987942778925688</v>
      </c>
      <c r="D32" s="237" t="s">
        <v>754</v>
      </c>
    </row>
    <row r="33" spans="1:5">
      <c r="A33" s="171" t="s">
        <v>40</v>
      </c>
      <c r="B33" s="37">
        <f>IF( ISERROR(IND_textiel_ele_kWh/1000),0,IND_textiel_ele_kWh/1000)</f>
        <v>12150.359</v>
      </c>
      <c r="C33" s="39">
        <f>IF(ISERROR(B33*3.6/1000000/'E Balans VL '!Z21*100),0,B33*3.6/1000000/'E Balans VL '!Z21*100)</f>
        <v>1.5842717554825376</v>
      </c>
      <c r="D33" s="237" t="s">
        <v>754</v>
      </c>
    </row>
    <row r="34" spans="1:5">
      <c r="A34" s="171" t="s">
        <v>37</v>
      </c>
      <c r="B34" s="37">
        <f>IF( ISERROR(IND_min_ele_kWh/1000),0,IND_min_ele_kWh/1000)</f>
        <v>697.14200000000005</v>
      </c>
      <c r="C34" s="39">
        <f>IF(ISERROR(B34*3.6/1000000/'E Balans VL '!Z22*100),0,B34*3.6/1000000/'E Balans VL '!Z22*100)</f>
        <v>0.12539409522009962</v>
      </c>
      <c r="D34" s="237" t="s">
        <v>754</v>
      </c>
    </row>
    <row r="35" spans="1:5">
      <c r="A35" s="171" t="s">
        <v>39</v>
      </c>
      <c r="B35" s="37">
        <f>IF( ISERROR(IND_papier_ele_kWh/1000),0,IND_papier_ele_kWh/1000)</f>
        <v>16691.023000000001</v>
      </c>
      <c r="C35" s="39">
        <f>IF(ISERROR(B35*3.6/1000000/'E Balans VL '!Z22*100),0,B35*3.6/1000000/'E Balans VL '!Z22*100)</f>
        <v>3.002194283779879</v>
      </c>
      <c r="D35" s="237" t="s">
        <v>754</v>
      </c>
    </row>
    <row r="36" spans="1:5">
      <c r="A36" s="171" t="s">
        <v>34</v>
      </c>
      <c r="B36" s="37">
        <f>IF( ISERROR(IND_chemie_ele_kWh/1000),0,IND_chemie_ele_kWh/1000)</f>
        <v>44441.555999999997</v>
      </c>
      <c r="C36" s="39">
        <f>IF(ISERROR(B36*3.6/1000000/'E Balans VL '!Z24*100),0,B36*3.6/1000000/'E Balans VL '!Z24*100)</f>
        <v>1.3552019138298284</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315.8689</v>
      </c>
      <c r="C5" s="17">
        <f>'Eigen informatie GS &amp; warmtenet'!B60</f>
        <v>0</v>
      </c>
      <c r="D5" s="30">
        <f>IF(ISERROR(SUM(LB_lb_gas_kWh,LB_rest_gas_kWh,onbekend_gas_kWh)/1000),0,SUM(LB_lb_gas_kWh,LB_rest_gas_kWh,onbekend_gas_kWh)/1000)*0.902</f>
        <v>255.51224600000003</v>
      </c>
      <c r="E5" s="17">
        <f>B17*'E Balans VL '!I25/3.6*1000000/100</f>
        <v>9.2843517459763731</v>
      </c>
      <c r="F5" s="17">
        <f>B17*('E Balans VL '!L25/3.6*1000000+'E Balans VL '!N25/3.6*1000000)/100</f>
        <v>1315.8927687405383</v>
      </c>
      <c r="G5" s="18"/>
      <c r="H5" s="17"/>
      <c r="I5" s="17"/>
      <c r="J5" s="17">
        <f>('E Balans VL '!D25+'E Balans VL '!E25)/3.6*1000000*landbouw!B17/100</f>
        <v>45.762620247724115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315.8689</v>
      </c>
      <c r="C8" s="21">
        <f>C5+C6</f>
        <v>0</v>
      </c>
      <c r="D8" s="21">
        <f>MAX((D5+D6),0)</f>
        <v>255.51224600000003</v>
      </c>
      <c r="E8" s="21">
        <f>MAX((E5+E6),0)</f>
        <v>9.2843517459763731</v>
      </c>
      <c r="F8" s="21">
        <f>MAX((F5+F6),0)</f>
        <v>1315.8927687405383</v>
      </c>
      <c r="G8" s="21"/>
      <c r="H8" s="21"/>
      <c r="I8" s="21"/>
      <c r="J8" s="21">
        <f>MAX((J5+J6),0)</f>
        <v>45.762620247724115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0.18010699983051018</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56.890199918763436</v>
      </c>
      <c r="C12" s="23">
        <f ca="1">C8*C10</f>
        <v>0</v>
      </c>
      <c r="D12" s="23">
        <f>D8*D10</f>
        <v>51.613473692000007</v>
      </c>
      <c r="E12" s="23">
        <f>E8*E10</f>
        <v>2.1075478463366366</v>
      </c>
      <c r="F12" s="23">
        <f>F8*F10</f>
        <v>351.34336925372372</v>
      </c>
      <c r="G12" s="23"/>
      <c r="H12" s="23"/>
      <c r="I12" s="23"/>
      <c r="J12" s="23">
        <f>J8*J10</f>
        <v>16.199967567694337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4.4822787918451075E-2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3.8261542932618435</v>
      </c>
      <c r="C26" s="247">
        <f>B26*'GWP N2O_CH4'!B5</f>
        <v>80.349240158498716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0.36364487597542866</v>
      </c>
      <c r="C27" s="247">
        <f>B27*'GWP N2O_CH4'!B5</f>
        <v>7.6365423954840015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3.9350676907620667E-2</v>
      </c>
      <c r="C28" s="247">
        <f>B28*'GWP N2O_CH4'!B4</f>
        <v>12.198709841362406</v>
      </c>
      <c r="D28" s="50"/>
    </row>
    <row r="29" spans="1:4">
      <c r="A29" s="41" t="s">
        <v>277</v>
      </c>
      <c r="B29" s="247">
        <f>B34*'ha_N2O bodem landbouw'!B4</f>
        <v>2.4609203632296817</v>
      </c>
      <c r="C29" s="247">
        <f>B29*'GWP N2O_CH4'!B4</f>
        <v>762.88531260120135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5.6157354618015969E-4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5.498251952083975E-4</v>
      </c>
      <c r="C5" s="463" t="s">
        <v>211</v>
      </c>
      <c r="D5" s="448">
        <f>SUM(D6:D11)</f>
        <v>1.8419950813338085E-3</v>
      </c>
      <c r="E5" s="448">
        <f>SUM(E6:E11)</f>
        <v>2.7251123454371277E-3</v>
      </c>
      <c r="F5" s="461" t="s">
        <v>211</v>
      </c>
      <c r="G5" s="448">
        <f>SUM(G6:G11)</f>
        <v>1.022106024519579</v>
      </c>
      <c r="H5" s="448">
        <f>SUM(H6:H11)</f>
        <v>0.21188317093906911</v>
      </c>
      <c r="I5" s="463" t="s">
        <v>211</v>
      </c>
      <c r="J5" s="463" t="s">
        <v>211</v>
      </c>
      <c r="K5" s="463" t="s">
        <v>211</v>
      </c>
      <c r="L5" s="463" t="s">
        <v>211</v>
      </c>
      <c r="M5" s="448">
        <f>SUM(M6:M11)</f>
        <v>6.6005855965532795E-2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2.4738770030259999E-4</v>
      </c>
      <c r="C6" s="449"/>
      <c r="D6" s="962">
        <f>vkm_2011_GW_PW*SUMIFS(TableVerdeelsleutelVkm[CNG],TableVerdeelsleutelVkm[Voertuigtype],"Lichte voertuigen")*SUMIFS(TableECFTransport[EnergieConsumptieFactor (PJ per km)],TableECFTransport[Index],CONCATENATE($A6,"_CNG_CNG"))</f>
        <v>7.4202111328316078E-4</v>
      </c>
      <c r="E6" s="962">
        <f>vkm_2011_GW_PW*SUMIFS(TableVerdeelsleutelVkm[LPG],TableVerdeelsleutelVkm[Voertuigtype],"Lichte voertuigen")*SUMIFS(TableECFTransport[EnergieConsumptieFactor (PJ per km)],TableECFTransport[Index],CONCATENATE($A6,"_LPG_LPG"))</f>
        <v>1.0137074268249183E-3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0.26209827150622411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8.4381602086994412E-2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1.7817401553117479E-2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9.0658786600312805E-2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2.7626123131344824E-5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5.2977984563662046E-3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6.8808391756877314E-5</v>
      </c>
      <c r="C8" s="449"/>
      <c r="D8" s="451">
        <f>vkm_2011_NGW_PW*SUMIFS(TableVerdeelsleutelVkm[CNG],TableVerdeelsleutelVkm[Voertuigtype],"Lichte voertuigen")*SUMIFS(TableECFTransport[EnergieConsumptieFactor (PJ per km)],TableECFTransport[Index],CONCATENATE($A8,"_CNG_CNG"))</f>
        <v>3.6695605610685336E-4</v>
      </c>
      <c r="E8" s="451">
        <f>vkm_2011_NGW_PW*SUMIFS(TableVerdeelsleutelVkm[LPG],TableVerdeelsleutelVkm[Voertuigtype],"Lichte voertuigen")*SUMIFS(TableECFTransport[EnergieConsumptieFactor (PJ per km)],TableECFTransport[Index],CONCATENATE($A8,"_LPG_LPG"))</f>
        <v>4.6427428281540996E-4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0.11186462241482949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4.0552156511485256E-2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7.7391760695685943E-3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1.6518260795013496E-3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4.7386519522104255E-7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9.6526356229242384E-5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2.3362910314892016E-4</v>
      </c>
      <c r="C10" s="449"/>
      <c r="D10" s="451">
        <f>vkm_2011_SW_PW*SUMIFS(TableVerdeelsleutelVkm[CNG],TableVerdeelsleutelVkm[Voertuigtype],"Lichte voertuigen")*SUMIFS(TableECFTransport[EnergieConsumptieFactor (PJ per km)],TableECFTransport[Index],CONCATENATE($A10,"_CNG_CNG"))</f>
        <v>7.3301791194379444E-4</v>
      </c>
      <c r="E10" s="451">
        <f>vkm_2011_SW_PW*SUMIFS(TableVerdeelsleutelVkm[LPG],TableVerdeelsleutelVkm[Voertuigtype],"Lichte voertuigen")*SUMIFS(TableECFTransport[EnergieConsumptieFactor (PJ per km)],TableECFTransport[Index],CONCATENATE($A10,"_LPG_LPG"))</f>
        <v>1.2471306357967993E-3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0.28746643717203479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8.6833000866413754E-2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1.9372337037943547E-2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0.26836608074667651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8.8311485849152199E-5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1.5682616492307729E-2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152.72922089122153</v>
      </c>
      <c r="C14" s="21"/>
      <c r="D14" s="21">
        <f t="shared" ref="D14:M14" si="0">((D5)*10^9/3600)+D12</f>
        <v>511.66530037050239</v>
      </c>
      <c r="E14" s="21">
        <f t="shared" si="0"/>
        <v>756.97565151031324</v>
      </c>
      <c r="F14" s="21"/>
      <c r="G14" s="21">
        <f t="shared" si="0"/>
        <v>283918.34014432749</v>
      </c>
      <c r="H14" s="21">
        <f t="shared" si="0"/>
        <v>58856.436371963646</v>
      </c>
      <c r="I14" s="21"/>
      <c r="J14" s="21"/>
      <c r="K14" s="21"/>
      <c r="L14" s="21"/>
      <c r="M14" s="21">
        <f t="shared" si="0"/>
        <v>18334.959990425778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0.18010699983051018</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27.507601761169187</v>
      </c>
      <c r="C18" s="23"/>
      <c r="D18" s="23">
        <f t="shared" ref="D18:M18" si="1">D14*D16</f>
        <v>103.35639067484149</v>
      </c>
      <c r="E18" s="23">
        <f t="shared" si="1"/>
        <v>171.83347289284112</v>
      </c>
      <c r="F18" s="23"/>
      <c r="G18" s="23">
        <f t="shared" si="1"/>
        <v>75806.196818535449</v>
      </c>
      <c r="H18" s="23">
        <f t="shared" si="1"/>
        <v>14655.252656618948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5.1370175368049692E-2</v>
      </c>
      <c r="H50" s="321">
        <f t="shared" si="2"/>
        <v>0</v>
      </c>
      <c r="I50" s="321">
        <f t="shared" si="2"/>
        <v>0</v>
      </c>
      <c r="J50" s="321">
        <f t="shared" si="2"/>
        <v>0</v>
      </c>
      <c r="K50" s="321">
        <f t="shared" si="2"/>
        <v>0</v>
      </c>
      <c r="L50" s="321">
        <f t="shared" si="2"/>
        <v>0</v>
      </c>
      <c r="M50" s="321">
        <f t="shared" si="2"/>
        <v>2.9175991833421712E-3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5.1370175368049692E-2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2.9175991833421712E-3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14269.49315779158</v>
      </c>
      <c r="H54" s="21">
        <f t="shared" si="3"/>
        <v>0</v>
      </c>
      <c r="I54" s="21">
        <f t="shared" si="3"/>
        <v>0</v>
      </c>
      <c r="J54" s="21">
        <f t="shared" si="3"/>
        <v>0</v>
      </c>
      <c r="K54" s="21">
        <f t="shared" si="3"/>
        <v>0</v>
      </c>
      <c r="L54" s="21">
        <f t="shared" si="3"/>
        <v>0</v>
      </c>
      <c r="M54" s="21">
        <f t="shared" si="3"/>
        <v>810.44421759504758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0.18010699983051018</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3809.9546731303521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59162.844324610727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35603.868545084144</v>
      </c>
      <c r="C6" s="1204"/>
      <c r="D6" s="1189"/>
      <c r="E6" s="1189"/>
      <c r="F6" s="1207"/>
      <c r="G6" s="1210"/>
      <c r="H6" s="1201"/>
      <c r="I6" s="1189"/>
      <c r="J6" s="1189"/>
      <c r="K6" s="1189"/>
      <c r="L6" s="1193"/>
      <c r="M6" s="575"/>
      <c r="N6" s="1167"/>
      <c r="O6" s="1168"/>
      <c r="Q6" s="573"/>
      <c r="R6" s="1155"/>
      <c r="S6" s="1155"/>
    </row>
    <row r="7" spans="1:19" s="563" customFormat="1">
      <c r="A7" s="576" t="s">
        <v>252</v>
      </c>
      <c r="B7" s="577">
        <f>N57</f>
        <v>67.5</v>
      </c>
      <c r="C7" s="578">
        <f>B100</f>
        <v>79.411764705882348</v>
      </c>
      <c r="D7" s="579"/>
      <c r="E7" s="579">
        <f>E100</f>
        <v>0</v>
      </c>
      <c r="F7" s="580"/>
      <c r="G7" s="581"/>
      <c r="H7" s="579">
        <f>I100</f>
        <v>0</v>
      </c>
      <c r="I7" s="579">
        <f>G100+F100</f>
        <v>0</v>
      </c>
      <c r="J7" s="579">
        <f>H100+D100+C100</f>
        <v>0</v>
      </c>
      <c r="K7" s="579"/>
      <c r="L7" s="582"/>
      <c r="M7" s="583">
        <f>C7*$C$11+D7*$D$11+E7*$E$11+F7*$F$11+G7*$G$11+H7*$H$11+I7*$I$11+J7*$J$11</f>
        <v>16.041176470588237</v>
      </c>
      <c r="N7" s="1167"/>
      <c r="O7" s="1168"/>
      <c r="Q7" s="573"/>
      <c r="R7" s="1155"/>
      <c r="S7" s="1155"/>
    </row>
    <row r="8" spans="1:19" s="563" customFormat="1" ht="17.45" customHeight="1" thickBot="1">
      <c r="A8" s="584" t="s">
        <v>248</v>
      </c>
      <c r="B8" s="585">
        <f>N88+'Eigen informatie GS &amp; warmtenet'!B12</f>
        <v>1620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96454.212869694864</v>
      </c>
      <c r="C9" s="594">
        <f t="shared" ref="C9:L9" si="0">SUM(C7:C8)</f>
        <v>79.411764705882348</v>
      </c>
      <c r="D9" s="594">
        <f t="shared" si="0"/>
        <v>0</v>
      </c>
      <c r="E9" s="594">
        <f t="shared" si="0"/>
        <v>0</v>
      </c>
      <c r="F9" s="594">
        <f t="shared" si="0"/>
        <v>0</v>
      </c>
      <c r="G9" s="594">
        <f t="shared" si="0"/>
        <v>0</v>
      </c>
      <c r="H9" s="594">
        <f t="shared" si="0"/>
        <v>0</v>
      </c>
      <c r="I9" s="594">
        <f t="shared" si="0"/>
        <v>0</v>
      </c>
      <c r="J9" s="594">
        <f t="shared" si="0"/>
        <v>4628.5714285714284</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96.428571428571431</v>
      </c>
      <c r="C16" s="610">
        <f>B101</f>
        <v>113.44537815126048</v>
      </c>
      <c r="D16" s="611"/>
      <c r="E16" s="611">
        <f>E101</f>
        <v>0</v>
      </c>
      <c r="F16" s="612"/>
      <c r="G16" s="613"/>
      <c r="H16" s="610">
        <f>I101</f>
        <v>0</v>
      </c>
      <c r="I16" s="611">
        <f>G101+F101</f>
        <v>0</v>
      </c>
      <c r="J16" s="611">
        <f>H101+D101+C101</f>
        <v>0</v>
      </c>
      <c r="K16" s="611"/>
      <c r="L16" s="614"/>
      <c r="M16" s="615">
        <f>C16*$C$21+E16*$E$21+H16*$H$21+I16*$I$21+J16*$J$21+D16*$D$21+F16*$F$21+G16*$G$21+K16*$K$21+L16*$L$21</f>
        <v>22.915966386554619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96.428571428571431</v>
      </c>
      <c r="C19" s="593">
        <f>SUM(C16:C18)</f>
        <v>113.44537815126048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22.915966386554619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71016</v>
      </c>
      <c r="C27" s="851">
        <v>3600</v>
      </c>
      <c r="D27" s="672" t="s">
        <v>809</v>
      </c>
      <c r="E27" s="671" t="s">
        <v>810</v>
      </c>
      <c r="F27" s="671" t="s">
        <v>811</v>
      </c>
      <c r="G27" s="671" t="s">
        <v>812</v>
      </c>
      <c r="H27" s="671" t="s">
        <v>813</v>
      </c>
      <c r="I27" s="671" t="s">
        <v>814</v>
      </c>
      <c r="J27" s="850">
        <v>41099</v>
      </c>
      <c r="K27" s="850">
        <v>41244</v>
      </c>
      <c r="L27" s="671" t="s">
        <v>815</v>
      </c>
      <c r="M27" s="671">
        <v>15</v>
      </c>
      <c r="N27" s="671">
        <v>67.5</v>
      </c>
      <c r="O27" s="671">
        <v>96.428571428571431</v>
      </c>
      <c r="P27" s="671">
        <v>192.85714285714286</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v>
      </c>
      <c r="N57" s="629">
        <f>SUM(N27:N56)</f>
        <v>67.5</v>
      </c>
      <c r="O57" s="629">
        <f t="shared" ref="O57:W57" si="2">SUM(O27:O56)</f>
        <v>96.428571428571431</v>
      </c>
      <c r="P57" s="629">
        <f t="shared" si="2"/>
        <v>192.85714285714286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71016</v>
      </c>
      <c r="C63" s="851">
        <v>3600</v>
      </c>
      <c r="D63" s="674" t="s">
        <v>816</v>
      </c>
      <c r="E63" s="674" t="s">
        <v>817</v>
      </c>
      <c r="F63" s="674" t="s">
        <v>818</v>
      </c>
      <c r="G63" s="674" t="s">
        <v>819</v>
      </c>
      <c r="H63" s="674" t="s">
        <v>820</v>
      </c>
      <c r="I63" s="674" t="s">
        <v>821</v>
      </c>
      <c r="J63" s="850">
        <v>33970</v>
      </c>
      <c r="K63" s="850">
        <v>37316</v>
      </c>
      <c r="L63" s="674" t="s">
        <v>815</v>
      </c>
      <c r="M63" s="674">
        <v>360</v>
      </c>
      <c r="N63" s="674">
        <v>1620</v>
      </c>
      <c r="O63" s="674">
        <v>0</v>
      </c>
      <c r="P63" s="674">
        <v>0</v>
      </c>
      <c r="Q63" s="674">
        <v>4628.5714285714284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360</v>
      </c>
      <c r="N88" s="629">
        <f t="shared" ref="N88:W88" si="5">SUM(N63:N87)</f>
        <v>1620</v>
      </c>
      <c r="O88" s="629">
        <f t="shared" si="5"/>
        <v>0</v>
      </c>
      <c r="P88" s="629">
        <f t="shared" si="5"/>
        <v>0</v>
      </c>
      <c r="Q88" s="629">
        <f t="shared" si="5"/>
        <v>4628.5714285714284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360</v>
      </c>
      <c r="N90" s="629">
        <f t="shared" ref="N90:W90" si="7">SUMIF($Z$63:$Z$88,"tertiair",N63:N88)</f>
        <v>1620</v>
      </c>
      <c r="O90" s="629">
        <f t="shared" si="7"/>
        <v>0</v>
      </c>
      <c r="P90" s="629">
        <f t="shared" si="7"/>
        <v>0</v>
      </c>
      <c r="Q90" s="629">
        <f t="shared" si="7"/>
        <v>4628.5714285714284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113.44537815126048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167017.98464999994</v>
      </c>
      <c r="D10" s="718">
        <f ca="1">tertiair!C16</f>
        <v>96.428571428571431</v>
      </c>
      <c r="E10" s="718">
        <f ca="1">tertiair!D16</f>
        <v>107368.81554044287</v>
      </c>
      <c r="F10" s="718">
        <f>tertiair!E16</f>
        <v>1937.2560907216377</v>
      </c>
      <c r="G10" s="718">
        <f ca="1">tertiair!F16</f>
        <v>27794.517167067559</v>
      </c>
      <c r="H10" s="718">
        <f>tertiair!G16</f>
        <v>0</v>
      </c>
      <c r="I10" s="718">
        <f>tertiair!H16</f>
        <v>0</v>
      </c>
      <c r="J10" s="718">
        <f>tertiair!I16</f>
        <v>0</v>
      </c>
      <c r="K10" s="718">
        <f>tertiair!J16</f>
        <v>0.35051698692108513</v>
      </c>
      <c r="L10" s="718">
        <f>tertiair!K16</f>
        <v>0</v>
      </c>
      <c r="M10" s="718">
        <f ca="1">tertiair!L16</f>
        <v>0</v>
      </c>
      <c r="N10" s="718">
        <f>tertiair!M16</f>
        <v>0</v>
      </c>
      <c r="O10" s="718">
        <f ca="1">tertiair!N16</f>
        <v>9650.0451656384976</v>
      </c>
      <c r="P10" s="718">
        <f>tertiair!O16</f>
        <v>4.6900000000000004</v>
      </c>
      <c r="Q10" s="719">
        <f>tertiair!P16</f>
        <v>133.46666666666667</v>
      </c>
      <c r="R10" s="721">
        <f ca="1">SUM(C10:Q10)</f>
        <v>314003.5543689527</v>
      </c>
      <c r="S10" s="67"/>
    </row>
    <row r="11" spans="1:19" s="474" customFormat="1">
      <c r="A11" s="870" t="s">
        <v>225</v>
      </c>
      <c r="B11" s="875"/>
      <c r="C11" s="718">
        <f>huishoudens!B8</f>
        <v>121066.39087399133</v>
      </c>
      <c r="D11" s="718">
        <f>huishoudens!C8</f>
        <v>0</v>
      </c>
      <c r="E11" s="718">
        <f>huishoudens!D8</f>
        <v>168219.95354009999</v>
      </c>
      <c r="F11" s="718">
        <f>huishoudens!E8</f>
        <v>2736.872378723117</v>
      </c>
      <c r="G11" s="718">
        <f>huishoudens!F8</f>
        <v>133508.48303884736</v>
      </c>
      <c r="H11" s="718">
        <f>huishoudens!G8</f>
        <v>0</v>
      </c>
      <c r="I11" s="718">
        <f>huishoudens!H8</f>
        <v>0</v>
      </c>
      <c r="J11" s="718">
        <f>huishoudens!I8</f>
        <v>0</v>
      </c>
      <c r="K11" s="718">
        <f>huishoudens!J8</f>
        <v>0</v>
      </c>
      <c r="L11" s="718">
        <f>huishoudens!K8</f>
        <v>0</v>
      </c>
      <c r="M11" s="718">
        <f>huishoudens!L8</f>
        <v>0</v>
      </c>
      <c r="N11" s="718">
        <f>huishoudens!M8</f>
        <v>0</v>
      </c>
      <c r="O11" s="718">
        <f>huishoudens!N8</f>
        <v>11626.948447863484</v>
      </c>
      <c r="P11" s="718">
        <f>huishoudens!O8</f>
        <v>1478.9133333333334</v>
      </c>
      <c r="Q11" s="719">
        <f>huishoudens!P8</f>
        <v>2764.6666666666665</v>
      </c>
      <c r="R11" s="721">
        <f>SUM(C11:Q11)</f>
        <v>441402.22827952524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232326.87814999995</v>
      </c>
      <c r="D13" s="718">
        <f>industrie!C18</f>
        <v>0</v>
      </c>
      <c r="E13" s="718">
        <f>industrie!D18</f>
        <v>78635.299022499996</v>
      </c>
      <c r="F13" s="718">
        <f>industrie!E18</f>
        <v>35137.065349301971</v>
      </c>
      <c r="G13" s="718">
        <f>industrie!F18</f>
        <v>100977.32648680289</v>
      </c>
      <c r="H13" s="718">
        <f>industrie!G18</f>
        <v>0</v>
      </c>
      <c r="I13" s="718">
        <f>industrie!H18</f>
        <v>0</v>
      </c>
      <c r="J13" s="718">
        <f>industrie!I18</f>
        <v>0</v>
      </c>
      <c r="K13" s="718">
        <f>industrie!J18</f>
        <v>3.7270377984311915</v>
      </c>
      <c r="L13" s="718">
        <f>industrie!K18</f>
        <v>0</v>
      </c>
      <c r="M13" s="718">
        <f>industrie!L18</f>
        <v>0</v>
      </c>
      <c r="N13" s="718">
        <f>industrie!M18</f>
        <v>0</v>
      </c>
      <c r="O13" s="718">
        <f>industrie!N18</f>
        <v>90511.117250101292</v>
      </c>
      <c r="P13" s="718">
        <f>industrie!O18</f>
        <v>0</v>
      </c>
      <c r="Q13" s="719">
        <f>industrie!P18</f>
        <v>0</v>
      </c>
      <c r="R13" s="721">
        <f>SUM(C13:Q13)</f>
        <v>537591.41329650453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520411.25367399125</v>
      </c>
      <c r="D15" s="723">
        <f t="shared" ref="D15:Q15" ca="1" si="0">SUM(D9:D14)</f>
        <v>96.428571428571431</v>
      </c>
      <c r="E15" s="723">
        <f t="shared" ca="1" si="0"/>
        <v>354224.06810304284</v>
      </c>
      <c r="F15" s="723">
        <f t="shared" si="0"/>
        <v>39811.193818746724</v>
      </c>
      <c r="G15" s="723">
        <f t="shared" ca="1" si="0"/>
        <v>262280.32669271785</v>
      </c>
      <c r="H15" s="723">
        <f t="shared" si="0"/>
        <v>0</v>
      </c>
      <c r="I15" s="723">
        <f t="shared" si="0"/>
        <v>0</v>
      </c>
      <c r="J15" s="723">
        <f t="shared" si="0"/>
        <v>0</v>
      </c>
      <c r="K15" s="723">
        <f t="shared" si="0"/>
        <v>4.0775547853522767</v>
      </c>
      <c r="L15" s="723">
        <f t="shared" si="0"/>
        <v>0</v>
      </c>
      <c r="M15" s="723">
        <f t="shared" ca="1" si="0"/>
        <v>0</v>
      </c>
      <c r="N15" s="723">
        <f t="shared" si="0"/>
        <v>0</v>
      </c>
      <c r="O15" s="723">
        <f t="shared" ca="1" si="0"/>
        <v>111788.11086360327</v>
      </c>
      <c r="P15" s="723">
        <f t="shared" si="0"/>
        <v>1483.6033333333335</v>
      </c>
      <c r="Q15" s="724">
        <f t="shared" si="0"/>
        <v>2898.1333333333332</v>
      </c>
      <c r="R15" s="725">
        <f ca="1">SUM(R9:R14)</f>
        <v>1292997.1959449826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14269.49315779158</v>
      </c>
      <c r="I18" s="718">
        <f>transport!H54</f>
        <v>0</v>
      </c>
      <c r="J18" s="718">
        <f>transport!I54</f>
        <v>0</v>
      </c>
      <c r="K18" s="718">
        <f>transport!J54</f>
        <v>0</v>
      </c>
      <c r="L18" s="718">
        <f>transport!K54</f>
        <v>0</v>
      </c>
      <c r="M18" s="718">
        <f>transport!L54</f>
        <v>0</v>
      </c>
      <c r="N18" s="718">
        <f>transport!M54</f>
        <v>810.44421759504758</v>
      </c>
      <c r="O18" s="718">
        <f>transport!N54</f>
        <v>0</v>
      </c>
      <c r="P18" s="718">
        <f>transport!O54</f>
        <v>0</v>
      </c>
      <c r="Q18" s="719">
        <f>transport!P54</f>
        <v>0</v>
      </c>
      <c r="R18" s="721">
        <f>SUM(C18:Q18)</f>
        <v>15079.937375386628</v>
      </c>
      <c r="S18" s="67"/>
    </row>
    <row r="19" spans="1:19" s="474" customFormat="1" ht="15" thickBot="1">
      <c r="A19" s="870" t="s">
        <v>307</v>
      </c>
      <c r="B19" s="875"/>
      <c r="C19" s="727">
        <f>transport!B14</f>
        <v>152.72922089122153</v>
      </c>
      <c r="D19" s="727">
        <f>transport!C14</f>
        <v>0</v>
      </c>
      <c r="E19" s="727">
        <f>transport!D14</f>
        <v>511.66530037050239</v>
      </c>
      <c r="F19" s="727">
        <f>transport!E14</f>
        <v>756.97565151031324</v>
      </c>
      <c r="G19" s="727">
        <f>transport!F14</f>
        <v>0</v>
      </c>
      <c r="H19" s="727">
        <f>transport!G14</f>
        <v>283918.34014432749</v>
      </c>
      <c r="I19" s="727">
        <f>transport!H14</f>
        <v>58856.436371963646</v>
      </c>
      <c r="J19" s="727">
        <f>transport!I14</f>
        <v>0</v>
      </c>
      <c r="K19" s="727">
        <f>transport!J14</f>
        <v>0</v>
      </c>
      <c r="L19" s="727">
        <f>transport!K14</f>
        <v>0</v>
      </c>
      <c r="M19" s="727">
        <f>transport!L14</f>
        <v>0</v>
      </c>
      <c r="N19" s="727">
        <f>transport!M14</f>
        <v>18334.959990425778</v>
      </c>
      <c r="O19" s="727">
        <f>transport!N14</f>
        <v>0</v>
      </c>
      <c r="P19" s="727">
        <f>transport!O14</f>
        <v>0</v>
      </c>
      <c r="Q19" s="728">
        <f>transport!P14</f>
        <v>0</v>
      </c>
      <c r="R19" s="729">
        <f>SUM(C19:Q19)</f>
        <v>362531.10667948896</v>
      </c>
      <c r="S19" s="67"/>
    </row>
    <row r="20" spans="1:19" s="474" customFormat="1" ht="15.75" thickBot="1">
      <c r="A20" s="730" t="s">
        <v>230</v>
      </c>
      <c r="B20" s="878"/>
      <c r="C20" s="873">
        <f>SUM(C17:C19)</f>
        <v>152.72922089122153</v>
      </c>
      <c r="D20" s="731">
        <f t="shared" ref="D20:R20" si="1">SUM(D17:D19)</f>
        <v>0</v>
      </c>
      <c r="E20" s="731">
        <f t="shared" si="1"/>
        <v>511.66530037050239</v>
      </c>
      <c r="F20" s="731">
        <f t="shared" si="1"/>
        <v>756.97565151031324</v>
      </c>
      <c r="G20" s="731">
        <f t="shared" si="1"/>
        <v>0</v>
      </c>
      <c r="H20" s="731">
        <f t="shared" si="1"/>
        <v>298187.83330211905</v>
      </c>
      <c r="I20" s="731">
        <f t="shared" si="1"/>
        <v>58856.436371963646</v>
      </c>
      <c r="J20" s="731">
        <f t="shared" si="1"/>
        <v>0</v>
      </c>
      <c r="K20" s="731">
        <f t="shared" si="1"/>
        <v>0</v>
      </c>
      <c r="L20" s="731">
        <f t="shared" si="1"/>
        <v>0</v>
      </c>
      <c r="M20" s="731">
        <f t="shared" si="1"/>
        <v>0</v>
      </c>
      <c r="N20" s="731">
        <f t="shared" si="1"/>
        <v>19145.404208020824</v>
      </c>
      <c r="O20" s="731">
        <f t="shared" si="1"/>
        <v>0</v>
      </c>
      <c r="P20" s="731">
        <f t="shared" si="1"/>
        <v>0</v>
      </c>
      <c r="Q20" s="732">
        <f t="shared" si="1"/>
        <v>0</v>
      </c>
      <c r="R20" s="733">
        <f t="shared" si="1"/>
        <v>377611.04405487562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315.8689</v>
      </c>
      <c r="D22" s="727">
        <f>+landbouw!C8</f>
        <v>0</v>
      </c>
      <c r="E22" s="727">
        <f>+landbouw!D8</f>
        <v>255.51224600000003</v>
      </c>
      <c r="F22" s="727">
        <f>+landbouw!E8</f>
        <v>9.2843517459763731</v>
      </c>
      <c r="G22" s="727">
        <f>+landbouw!F8</f>
        <v>1315.8927687405383</v>
      </c>
      <c r="H22" s="727">
        <f>+landbouw!G8</f>
        <v>0</v>
      </c>
      <c r="I22" s="727">
        <f>+landbouw!H8</f>
        <v>0</v>
      </c>
      <c r="J22" s="727">
        <f>+landbouw!I8</f>
        <v>0</v>
      </c>
      <c r="K22" s="727">
        <f>+landbouw!J8</f>
        <v>45.762620247724115</v>
      </c>
      <c r="L22" s="727">
        <f>+landbouw!K8</f>
        <v>0</v>
      </c>
      <c r="M22" s="727">
        <f>+landbouw!L8</f>
        <v>0</v>
      </c>
      <c r="N22" s="727">
        <f>+landbouw!M8</f>
        <v>0</v>
      </c>
      <c r="O22" s="727">
        <f>+landbouw!N8</f>
        <v>0</v>
      </c>
      <c r="P22" s="727">
        <f>+landbouw!O8</f>
        <v>0</v>
      </c>
      <c r="Q22" s="728">
        <f>+landbouw!P8</f>
        <v>0</v>
      </c>
      <c r="R22" s="729">
        <f>SUM(C22:Q22)</f>
        <v>1942.3208867342387</v>
      </c>
      <c r="S22" s="67"/>
    </row>
    <row r="23" spans="1:19" s="474" customFormat="1" ht="17.25" thickTop="1" thickBot="1">
      <c r="A23" s="734" t="s">
        <v>116</v>
      </c>
      <c r="B23" s="864"/>
      <c r="C23" s="735">
        <f ca="1">C20+C15+C22</f>
        <v>520879.85179488244</v>
      </c>
      <c r="D23" s="735">
        <f t="shared" ref="D23:Q23" ca="1" si="2">D20+D15+D22</f>
        <v>96.428571428571431</v>
      </c>
      <c r="E23" s="735">
        <f t="shared" ca="1" si="2"/>
        <v>354991.24564941332</v>
      </c>
      <c r="F23" s="735">
        <f t="shared" si="2"/>
        <v>40577.453822003015</v>
      </c>
      <c r="G23" s="735">
        <f t="shared" ca="1" si="2"/>
        <v>263596.21946145839</v>
      </c>
      <c r="H23" s="735">
        <f t="shared" si="2"/>
        <v>298187.83330211905</v>
      </c>
      <c r="I23" s="735">
        <f t="shared" si="2"/>
        <v>58856.436371963646</v>
      </c>
      <c r="J23" s="735">
        <f t="shared" si="2"/>
        <v>0</v>
      </c>
      <c r="K23" s="735">
        <f t="shared" si="2"/>
        <v>49.840175033076392</v>
      </c>
      <c r="L23" s="735">
        <f t="shared" si="2"/>
        <v>0</v>
      </c>
      <c r="M23" s="735">
        <f t="shared" ca="1" si="2"/>
        <v>0</v>
      </c>
      <c r="N23" s="735">
        <f t="shared" si="2"/>
        <v>19145.404208020824</v>
      </c>
      <c r="O23" s="735">
        <f t="shared" ca="1" si="2"/>
        <v>111788.11086360327</v>
      </c>
      <c r="P23" s="735">
        <f t="shared" si="2"/>
        <v>1483.6033333333335</v>
      </c>
      <c r="Q23" s="736">
        <f t="shared" si="2"/>
        <v>2898.1333333333332</v>
      </c>
      <c r="R23" s="737">
        <f ca="1">R20+R15+R22</f>
        <v>1672550.5608865924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30081.108133049689</v>
      </c>
      <c r="D36" s="718">
        <f ca="1">tertiair!C20</f>
        <v>22.915966386554619</v>
      </c>
      <c r="E36" s="718">
        <f ca="1">tertiair!D20</f>
        <v>21688.50073916946</v>
      </c>
      <c r="F36" s="718">
        <f>tertiair!E20</f>
        <v>439.75713259381178</v>
      </c>
      <c r="G36" s="718">
        <f ca="1">tertiair!F20</f>
        <v>7421.1360836070389</v>
      </c>
      <c r="H36" s="718">
        <f>tertiair!G20</f>
        <v>0</v>
      </c>
      <c r="I36" s="718">
        <f>tertiair!H20</f>
        <v>0</v>
      </c>
      <c r="J36" s="718">
        <f>tertiair!I20</f>
        <v>0</v>
      </c>
      <c r="K36" s="718">
        <f>tertiair!J20</f>
        <v>0.12408301337006412</v>
      </c>
      <c r="L36" s="718">
        <f>tertiair!K20</f>
        <v>0</v>
      </c>
      <c r="M36" s="718">
        <f ca="1">tertiair!L20</f>
        <v>0</v>
      </c>
      <c r="N36" s="718">
        <f>tertiair!M20</f>
        <v>0</v>
      </c>
      <c r="O36" s="718">
        <f ca="1">tertiair!N20</f>
        <v>0</v>
      </c>
      <c r="P36" s="718">
        <f>tertiair!O20</f>
        <v>0</v>
      </c>
      <c r="Q36" s="828">
        <f>tertiair!P20</f>
        <v>0</v>
      </c>
      <c r="R36" s="917">
        <f ca="1">SUM(C36:Q36)</f>
        <v>59653.542137819924</v>
      </c>
    </row>
    <row r="37" spans="1:18">
      <c r="A37" s="885" t="s">
        <v>225</v>
      </c>
      <c r="B37" s="892"/>
      <c r="C37" s="718">
        <f ca="1">huishoudens!B12</f>
        <v>21804.904440622435</v>
      </c>
      <c r="D37" s="718">
        <f ca="1">huishoudens!C12</f>
        <v>0</v>
      </c>
      <c r="E37" s="718">
        <f>huishoudens!D12</f>
        <v>33980.430615100202</v>
      </c>
      <c r="F37" s="718">
        <f>huishoudens!E12</f>
        <v>621.27002997014756</v>
      </c>
      <c r="G37" s="718">
        <f>huishoudens!F12</f>
        <v>35646.764971372249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92053.37005706504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41843.697003585003</v>
      </c>
      <c r="D39" s="718">
        <f ca="1">industrie!C22</f>
        <v>0</v>
      </c>
      <c r="E39" s="718">
        <f>industrie!D22</f>
        <v>15884.330402545</v>
      </c>
      <c r="F39" s="718">
        <f>industrie!E22</f>
        <v>7976.1138342915474</v>
      </c>
      <c r="G39" s="718">
        <f>industrie!F22</f>
        <v>26960.946171976375</v>
      </c>
      <c r="H39" s="718">
        <f>industrie!G22</f>
        <v>0</v>
      </c>
      <c r="I39" s="718">
        <f>industrie!H22</f>
        <v>0</v>
      </c>
      <c r="J39" s="718">
        <f>industrie!I22</f>
        <v>0</v>
      </c>
      <c r="K39" s="718">
        <f>industrie!J22</f>
        <v>1.3193713806446417</v>
      </c>
      <c r="L39" s="718">
        <f>industrie!K22</f>
        <v>0</v>
      </c>
      <c r="M39" s="718">
        <f>industrie!L22</f>
        <v>0</v>
      </c>
      <c r="N39" s="718">
        <f>industrie!M22</f>
        <v>0</v>
      </c>
      <c r="O39" s="718">
        <f>industrie!N22</f>
        <v>0</v>
      </c>
      <c r="P39" s="718">
        <f>industrie!O22</f>
        <v>0</v>
      </c>
      <c r="Q39" s="828">
        <f>industrie!P22</f>
        <v>0</v>
      </c>
      <c r="R39" s="918">
        <f ca="1">SUM(C39:Q39)</f>
        <v>92666.40678377857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93729.709577257134</v>
      </c>
      <c r="D41" s="763">
        <f t="shared" ref="D41:R41" ca="1" si="4">SUM(D35:D40)</f>
        <v>22.915966386554619</v>
      </c>
      <c r="E41" s="763">
        <f t="shared" ca="1" si="4"/>
        <v>71553.261756814667</v>
      </c>
      <c r="F41" s="763">
        <f t="shared" si="4"/>
        <v>9037.1409968555072</v>
      </c>
      <c r="G41" s="763">
        <f t="shared" ca="1" si="4"/>
        <v>70028.847226955666</v>
      </c>
      <c r="H41" s="763">
        <f t="shared" si="4"/>
        <v>0</v>
      </c>
      <c r="I41" s="763">
        <f t="shared" si="4"/>
        <v>0</v>
      </c>
      <c r="J41" s="763">
        <f t="shared" si="4"/>
        <v>0</v>
      </c>
      <c r="K41" s="763">
        <f t="shared" si="4"/>
        <v>1.4434543940147058</v>
      </c>
      <c r="L41" s="763">
        <f t="shared" si="4"/>
        <v>0</v>
      </c>
      <c r="M41" s="763">
        <f t="shared" ca="1" si="4"/>
        <v>0</v>
      </c>
      <c r="N41" s="763">
        <f t="shared" si="4"/>
        <v>0</v>
      </c>
      <c r="O41" s="763">
        <f t="shared" ca="1" si="4"/>
        <v>0</v>
      </c>
      <c r="P41" s="763">
        <f t="shared" si="4"/>
        <v>0</v>
      </c>
      <c r="Q41" s="764">
        <f t="shared" si="4"/>
        <v>0</v>
      </c>
      <c r="R41" s="765">
        <f t="shared" ca="1" si="4"/>
        <v>244373.31897866353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3809.9546731303521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3809.9546731303521</v>
      </c>
    </row>
    <row r="45" spans="1:18" ht="15" thickBot="1">
      <c r="A45" s="888" t="s">
        <v>307</v>
      </c>
      <c r="B45" s="898"/>
      <c r="C45" s="727">
        <f ca="1">transport!B18</f>
        <v>27.507601761169187</v>
      </c>
      <c r="D45" s="727">
        <f>transport!C18</f>
        <v>0</v>
      </c>
      <c r="E45" s="727">
        <f>transport!D18</f>
        <v>103.35639067484149</v>
      </c>
      <c r="F45" s="727">
        <f>transport!E18</f>
        <v>171.83347289284112</v>
      </c>
      <c r="G45" s="727">
        <f>transport!F18</f>
        <v>0</v>
      </c>
      <c r="H45" s="727">
        <f>transport!G18</f>
        <v>75806.196818535449</v>
      </c>
      <c r="I45" s="727">
        <f>transport!H18</f>
        <v>14655.252656618948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90764.146940483246</v>
      </c>
    </row>
    <row r="46" spans="1:18" ht="15.75" thickBot="1">
      <c r="A46" s="886" t="s">
        <v>230</v>
      </c>
      <c r="B46" s="899"/>
      <c r="C46" s="763">
        <f t="shared" ref="C46:R46" ca="1" si="5">SUM(C43:C45)</f>
        <v>27.507601761169187</v>
      </c>
      <c r="D46" s="763">
        <f t="shared" ca="1" si="5"/>
        <v>0</v>
      </c>
      <c r="E46" s="763">
        <f t="shared" si="5"/>
        <v>103.35639067484149</v>
      </c>
      <c r="F46" s="763">
        <f t="shared" si="5"/>
        <v>171.83347289284112</v>
      </c>
      <c r="G46" s="763">
        <f t="shared" si="5"/>
        <v>0</v>
      </c>
      <c r="H46" s="763">
        <f t="shared" si="5"/>
        <v>79616.151491665805</v>
      </c>
      <c r="I46" s="763">
        <f t="shared" si="5"/>
        <v>14655.252656618948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94574.101613613602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56.890199918763436</v>
      </c>
      <c r="D48" s="718">
        <f ca="1">+landbouw!C12</f>
        <v>0</v>
      </c>
      <c r="E48" s="718">
        <f>+landbouw!D12</f>
        <v>51.613473692000007</v>
      </c>
      <c r="F48" s="718">
        <f>+landbouw!E12</f>
        <v>2.1075478463366366</v>
      </c>
      <c r="G48" s="718">
        <f>+landbouw!F12</f>
        <v>351.34336925372372</v>
      </c>
      <c r="H48" s="718">
        <f>+landbouw!G12</f>
        <v>0</v>
      </c>
      <c r="I48" s="718">
        <f>+landbouw!H12</f>
        <v>0</v>
      </c>
      <c r="J48" s="718">
        <f>+landbouw!I12</f>
        <v>0</v>
      </c>
      <c r="K48" s="718">
        <f>+landbouw!J12</f>
        <v>16.199967567694337</v>
      </c>
      <c r="L48" s="718">
        <f>+landbouw!K12</f>
        <v>0</v>
      </c>
      <c r="M48" s="718">
        <f>+landbouw!L12</f>
        <v>0</v>
      </c>
      <c r="N48" s="718">
        <f>+landbouw!M12</f>
        <v>0</v>
      </c>
      <c r="O48" s="718">
        <f>+landbouw!N12</f>
        <v>0</v>
      </c>
      <c r="P48" s="718">
        <f>+landbouw!O12</f>
        <v>0</v>
      </c>
      <c r="Q48" s="719">
        <f>+landbouw!P12</f>
        <v>0</v>
      </c>
      <c r="R48" s="761">
        <f ca="1">SUM(C48:Q48)</f>
        <v>478.15455827851815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93814.107378937071</v>
      </c>
      <c r="D53" s="773">
        <f t="shared" ref="D53:Q53" ca="1" si="6">D41+D46+D48</f>
        <v>22.915966386554619</v>
      </c>
      <c r="E53" s="773">
        <f t="shared" ca="1" si="6"/>
        <v>71708.23162118152</v>
      </c>
      <c r="F53" s="773">
        <f t="shared" si="6"/>
        <v>9211.0820175946847</v>
      </c>
      <c r="G53" s="773">
        <f t="shared" ca="1" si="6"/>
        <v>70380.190596209388</v>
      </c>
      <c r="H53" s="773">
        <f t="shared" si="6"/>
        <v>79616.151491665805</v>
      </c>
      <c r="I53" s="773">
        <f t="shared" si="6"/>
        <v>14655.252656618948</v>
      </c>
      <c r="J53" s="773">
        <f t="shared" si="6"/>
        <v>0</v>
      </c>
      <c r="K53" s="773">
        <f t="shared" si="6"/>
        <v>17.643421961709041</v>
      </c>
      <c r="L53" s="773">
        <f t="shared" si="6"/>
        <v>0</v>
      </c>
      <c r="M53" s="773">
        <f t="shared" ca="1" si="6"/>
        <v>0</v>
      </c>
      <c r="N53" s="773">
        <f t="shared" si="6"/>
        <v>0</v>
      </c>
      <c r="O53" s="773">
        <f t="shared" ca="1" si="6"/>
        <v>0</v>
      </c>
      <c r="P53" s="773">
        <f>P41+P46+P48</f>
        <v>0</v>
      </c>
      <c r="Q53" s="774">
        <f t="shared" si="6"/>
        <v>0</v>
      </c>
      <c r="R53" s="775">
        <f ca="1">R41+R46+R48</f>
        <v>339425.57515055564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0.18010699983051021</v>
      </c>
      <c r="D55" s="836">
        <f t="shared" ca="1" si="7"/>
        <v>0.23764705882352938</v>
      </c>
      <c r="E55" s="836">
        <f t="shared" ca="1" si="7"/>
        <v>0.20200000000000007</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59162.844324610727</v>
      </c>
      <c r="C64" s="795">
        <f>'lokale energieproductie'!B4</f>
        <v>59162.844324610727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35603.868545084144</v>
      </c>
      <c r="C66" s="795">
        <f>'lokale energieproductie'!B6</f>
        <v>35603.868545084144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67.5</v>
      </c>
      <c r="C67" s="794">
        <f>B67*IFERROR(SUM(J67:L67)/SUM(D67:M67),0)</f>
        <v>0</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1620</v>
      </c>
      <c r="C68" s="794">
        <f>B68*IFERROR(SUM(J68:L68)/SUM(D68:M68),0)</f>
        <v>1620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4628.5714285714284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96454.212869694864</v>
      </c>
      <c r="C69" s="803">
        <f>SUM(C64:C68)</f>
        <v>96386.712869694864</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4628.5714285714284</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96.428571428571431</v>
      </c>
      <c r="C78" s="817">
        <f>B78*IFERROR(SUM(I78:L78)/SUM(D78:M78),0)</f>
        <v>0</v>
      </c>
      <c r="D78" s="832">
        <f>'lokale energieproductie'!C16</f>
        <v>113.44537815126048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96.428571428571431</v>
      </c>
      <c r="C81" s="803">
        <f>SUM(C78:C80)</f>
        <v>0</v>
      </c>
      <c r="D81" s="803">
        <f t="shared" ref="D81:P81" si="9">SUM(D78:D80)</f>
        <v>113.44537815126048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22.915966386554619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121066.39087399133</v>
      </c>
      <c r="C4" s="478">
        <f>huishoudens!C8</f>
        <v>0</v>
      </c>
      <c r="D4" s="478">
        <f>huishoudens!D8</f>
        <v>168219.95354009999</v>
      </c>
      <c r="E4" s="478">
        <f>huishoudens!E8</f>
        <v>2736.872378723117</v>
      </c>
      <c r="F4" s="478">
        <f>huishoudens!F8</f>
        <v>133508.48303884736</v>
      </c>
      <c r="G4" s="478">
        <f>huishoudens!G8</f>
        <v>0</v>
      </c>
      <c r="H4" s="478">
        <f>huishoudens!H8</f>
        <v>0</v>
      </c>
      <c r="I4" s="478">
        <f>huishoudens!I8</f>
        <v>0</v>
      </c>
      <c r="J4" s="478">
        <f>huishoudens!J8</f>
        <v>0</v>
      </c>
      <c r="K4" s="478">
        <f>huishoudens!K8</f>
        <v>0</v>
      </c>
      <c r="L4" s="478">
        <f>huishoudens!L8</f>
        <v>0</v>
      </c>
      <c r="M4" s="478">
        <f>huishoudens!M8</f>
        <v>0</v>
      </c>
      <c r="N4" s="478">
        <f>huishoudens!N8</f>
        <v>11626.948447863484</v>
      </c>
      <c r="O4" s="478">
        <f>huishoudens!O8</f>
        <v>1478.9133333333334</v>
      </c>
      <c r="P4" s="479">
        <f>huishoudens!P8</f>
        <v>2764.6666666666665</v>
      </c>
      <c r="Q4" s="480">
        <f>SUM(B4:P4)</f>
        <v>441402.22827952524</v>
      </c>
    </row>
    <row r="5" spans="1:17">
      <c r="A5" s="477" t="s">
        <v>156</v>
      </c>
      <c r="B5" s="478">
        <f ca="1">tertiair!B16</f>
        <v>163011.77864999993</v>
      </c>
      <c r="C5" s="478">
        <f ca="1">tertiair!C16</f>
        <v>96.428571428571431</v>
      </c>
      <c r="D5" s="478">
        <f ca="1">tertiair!D16</f>
        <v>107368.81554044287</v>
      </c>
      <c r="E5" s="478">
        <f>tertiair!E16</f>
        <v>1937.2560907216377</v>
      </c>
      <c r="F5" s="478">
        <f ca="1">tertiair!F16</f>
        <v>27794.517167067559</v>
      </c>
      <c r="G5" s="478">
        <f>tertiair!G16</f>
        <v>0</v>
      </c>
      <c r="H5" s="478">
        <f>tertiair!H16</f>
        <v>0</v>
      </c>
      <c r="I5" s="478">
        <f>tertiair!I16</f>
        <v>0</v>
      </c>
      <c r="J5" s="478">
        <f>tertiair!J16</f>
        <v>0.35051698692108513</v>
      </c>
      <c r="K5" s="478">
        <f>tertiair!K16</f>
        <v>0</v>
      </c>
      <c r="L5" s="478">
        <f ca="1">tertiair!L16</f>
        <v>0</v>
      </c>
      <c r="M5" s="478">
        <f>tertiair!M16</f>
        <v>0</v>
      </c>
      <c r="N5" s="478">
        <f ca="1">tertiair!N16</f>
        <v>9650.0451656384976</v>
      </c>
      <c r="O5" s="478">
        <f>tertiair!O16</f>
        <v>4.6900000000000004</v>
      </c>
      <c r="P5" s="479">
        <f>tertiair!P16</f>
        <v>133.46666666666667</v>
      </c>
      <c r="Q5" s="477">
        <f t="shared" ref="Q5:Q13" ca="1" si="0">SUM(B5:P5)</f>
        <v>309997.34836895269</v>
      </c>
    </row>
    <row r="6" spans="1:17">
      <c r="A6" s="477" t="s">
        <v>194</v>
      </c>
      <c r="B6" s="478">
        <f>'openbare verlichting'!B8</f>
        <v>4006.2060000000001</v>
      </c>
      <c r="C6" s="478"/>
      <c r="D6" s="478"/>
      <c r="E6" s="478"/>
      <c r="F6" s="478"/>
      <c r="G6" s="478"/>
      <c r="H6" s="478"/>
      <c r="I6" s="478"/>
      <c r="J6" s="478"/>
      <c r="K6" s="478"/>
      <c r="L6" s="478"/>
      <c r="M6" s="478"/>
      <c r="N6" s="478"/>
      <c r="O6" s="478"/>
      <c r="P6" s="479"/>
      <c r="Q6" s="477">
        <f t="shared" si="0"/>
        <v>4006.2060000000001</v>
      </c>
    </row>
    <row r="7" spans="1:17">
      <c r="A7" s="477" t="s">
        <v>112</v>
      </c>
      <c r="B7" s="478">
        <f>landbouw!B8</f>
        <v>315.8689</v>
      </c>
      <c r="C7" s="478">
        <f>landbouw!C8</f>
        <v>0</v>
      </c>
      <c r="D7" s="478">
        <f>landbouw!D8</f>
        <v>255.51224600000003</v>
      </c>
      <c r="E7" s="478">
        <f>landbouw!E8</f>
        <v>9.2843517459763731</v>
      </c>
      <c r="F7" s="478">
        <f>landbouw!F8</f>
        <v>1315.8927687405383</v>
      </c>
      <c r="G7" s="478">
        <f>landbouw!G8</f>
        <v>0</v>
      </c>
      <c r="H7" s="478">
        <f>landbouw!H8</f>
        <v>0</v>
      </c>
      <c r="I7" s="478">
        <f>landbouw!I8</f>
        <v>0</v>
      </c>
      <c r="J7" s="478">
        <f>landbouw!J8</f>
        <v>45.762620247724115</v>
      </c>
      <c r="K7" s="478">
        <f>landbouw!K8</f>
        <v>0</v>
      </c>
      <c r="L7" s="478">
        <f>landbouw!L8</f>
        <v>0</v>
      </c>
      <c r="M7" s="478">
        <f>landbouw!M8</f>
        <v>0</v>
      </c>
      <c r="N7" s="478">
        <f>landbouw!N8</f>
        <v>0</v>
      </c>
      <c r="O7" s="478">
        <f>landbouw!O8</f>
        <v>0</v>
      </c>
      <c r="P7" s="479">
        <f>landbouw!P8</f>
        <v>0</v>
      </c>
      <c r="Q7" s="477">
        <f t="shared" si="0"/>
        <v>1942.3208867342387</v>
      </c>
    </row>
    <row r="8" spans="1:17">
      <c r="A8" s="477" t="s">
        <v>635</v>
      </c>
      <c r="B8" s="478">
        <f>industrie!B18</f>
        <v>232326.87814999995</v>
      </c>
      <c r="C8" s="478">
        <f>industrie!C18</f>
        <v>0</v>
      </c>
      <c r="D8" s="478">
        <f>industrie!D18</f>
        <v>78635.299022499996</v>
      </c>
      <c r="E8" s="478">
        <f>industrie!E18</f>
        <v>35137.065349301971</v>
      </c>
      <c r="F8" s="478">
        <f>industrie!F18</f>
        <v>100977.32648680289</v>
      </c>
      <c r="G8" s="478">
        <f>industrie!G18</f>
        <v>0</v>
      </c>
      <c r="H8" s="478">
        <f>industrie!H18</f>
        <v>0</v>
      </c>
      <c r="I8" s="478">
        <f>industrie!I18</f>
        <v>0</v>
      </c>
      <c r="J8" s="478">
        <f>industrie!J18</f>
        <v>3.7270377984311915</v>
      </c>
      <c r="K8" s="478">
        <f>industrie!K18</f>
        <v>0</v>
      </c>
      <c r="L8" s="478">
        <f>industrie!L18</f>
        <v>0</v>
      </c>
      <c r="M8" s="478">
        <f>industrie!M18</f>
        <v>0</v>
      </c>
      <c r="N8" s="478">
        <f>industrie!N18</f>
        <v>90511.117250101292</v>
      </c>
      <c r="O8" s="478">
        <f>industrie!O18</f>
        <v>0</v>
      </c>
      <c r="P8" s="479">
        <f>industrie!P18</f>
        <v>0</v>
      </c>
      <c r="Q8" s="477">
        <f t="shared" si="0"/>
        <v>537591.41329650453</v>
      </c>
    </row>
    <row r="9" spans="1:17" s="483" customFormat="1">
      <c r="A9" s="481" t="s">
        <v>561</v>
      </c>
      <c r="B9" s="482">
        <f>transport!B14</f>
        <v>152.72922089122153</v>
      </c>
      <c r="C9" s="482">
        <f>transport!C14</f>
        <v>0</v>
      </c>
      <c r="D9" s="482">
        <f>transport!D14</f>
        <v>511.66530037050239</v>
      </c>
      <c r="E9" s="482">
        <f>transport!E14</f>
        <v>756.97565151031324</v>
      </c>
      <c r="F9" s="482">
        <f>transport!F14</f>
        <v>0</v>
      </c>
      <c r="G9" s="482">
        <f>transport!G14</f>
        <v>283918.34014432749</v>
      </c>
      <c r="H9" s="482">
        <f>transport!H14</f>
        <v>58856.436371963646</v>
      </c>
      <c r="I9" s="482">
        <f>transport!I14</f>
        <v>0</v>
      </c>
      <c r="J9" s="482">
        <f>transport!J14</f>
        <v>0</v>
      </c>
      <c r="K9" s="482">
        <f>transport!K14</f>
        <v>0</v>
      </c>
      <c r="L9" s="482">
        <f>transport!L14</f>
        <v>0</v>
      </c>
      <c r="M9" s="482">
        <f>transport!M14</f>
        <v>18334.959990425778</v>
      </c>
      <c r="N9" s="482">
        <f>transport!N14</f>
        <v>0</v>
      </c>
      <c r="O9" s="482">
        <f>transport!O14</f>
        <v>0</v>
      </c>
      <c r="P9" s="482">
        <f>transport!P14</f>
        <v>0</v>
      </c>
      <c r="Q9" s="481">
        <f>SUM(B9:P9)</f>
        <v>362531.10667948896</v>
      </c>
    </row>
    <row r="10" spans="1:17">
      <c r="A10" s="477" t="s">
        <v>551</v>
      </c>
      <c r="B10" s="478">
        <f>transport!B54</f>
        <v>0</v>
      </c>
      <c r="C10" s="478">
        <f>transport!C54</f>
        <v>0</v>
      </c>
      <c r="D10" s="478">
        <f>transport!D54</f>
        <v>0</v>
      </c>
      <c r="E10" s="478">
        <f>transport!E54</f>
        <v>0</v>
      </c>
      <c r="F10" s="478">
        <f>transport!F54</f>
        <v>0</v>
      </c>
      <c r="G10" s="478">
        <f>transport!G54</f>
        <v>14269.49315779158</v>
      </c>
      <c r="H10" s="478">
        <f>transport!H54</f>
        <v>0</v>
      </c>
      <c r="I10" s="478">
        <f>transport!I54</f>
        <v>0</v>
      </c>
      <c r="J10" s="478">
        <f>transport!J54</f>
        <v>0</v>
      </c>
      <c r="K10" s="478">
        <f>transport!K54</f>
        <v>0</v>
      </c>
      <c r="L10" s="478">
        <f>transport!L54</f>
        <v>0</v>
      </c>
      <c r="M10" s="478">
        <f>transport!M54</f>
        <v>810.44421759504758</v>
      </c>
      <c r="N10" s="478">
        <f>transport!N54</f>
        <v>0</v>
      </c>
      <c r="O10" s="478">
        <f>transport!O54</f>
        <v>0</v>
      </c>
      <c r="P10" s="479">
        <f>transport!P54</f>
        <v>0</v>
      </c>
      <c r="Q10" s="477">
        <f t="shared" si="0"/>
        <v>15079.937375386628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520879.85179488244</v>
      </c>
      <c r="C14" s="488">
        <f t="shared" ref="C14:Q14" ca="1" si="1">SUM(C4:C13)</f>
        <v>96.428571428571431</v>
      </c>
      <c r="D14" s="488">
        <f t="shared" ca="1" si="1"/>
        <v>354991.24564941332</v>
      </c>
      <c r="E14" s="488">
        <f t="shared" si="1"/>
        <v>40577.453822003015</v>
      </c>
      <c r="F14" s="488">
        <f t="shared" ca="1" si="1"/>
        <v>263596.21946145839</v>
      </c>
      <c r="G14" s="488">
        <f t="shared" si="1"/>
        <v>298187.83330211905</v>
      </c>
      <c r="H14" s="488">
        <f t="shared" si="1"/>
        <v>58856.436371963646</v>
      </c>
      <c r="I14" s="488">
        <f t="shared" si="1"/>
        <v>0</v>
      </c>
      <c r="J14" s="488">
        <f t="shared" si="1"/>
        <v>49.840175033076392</v>
      </c>
      <c r="K14" s="488">
        <f t="shared" si="1"/>
        <v>0</v>
      </c>
      <c r="L14" s="488">
        <f t="shared" ca="1" si="1"/>
        <v>0</v>
      </c>
      <c r="M14" s="488">
        <f t="shared" si="1"/>
        <v>19145.404208020824</v>
      </c>
      <c r="N14" s="488">
        <f t="shared" ca="1" si="1"/>
        <v>111788.11086360327</v>
      </c>
      <c r="O14" s="488">
        <f t="shared" si="1"/>
        <v>1483.6033333333335</v>
      </c>
      <c r="P14" s="489">
        <f t="shared" si="1"/>
        <v>2898.1333333333332</v>
      </c>
      <c r="Q14" s="489">
        <f t="shared" ca="1" si="1"/>
        <v>1672550.5608865924</v>
      </c>
    </row>
    <row r="16" spans="1:17">
      <c r="A16" s="491" t="s">
        <v>556</v>
      </c>
      <c r="B16" s="841">
        <f ca="1">huishoudens!B10</f>
        <v>0.18010699983051018</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21804.904440622435</v>
      </c>
      <c r="C21" s="478">
        <f t="shared" ref="C21:C30" ca="1" si="3">C4*$C$16</f>
        <v>0</v>
      </c>
      <c r="D21" s="478">
        <f t="shared" ref="D21:D30" si="4">D4*$D$16</f>
        <v>33980.430615100202</v>
      </c>
      <c r="E21" s="478">
        <f t="shared" ref="E21:E30" si="5">E4*$E$16</f>
        <v>621.27002997014756</v>
      </c>
      <c r="F21" s="478">
        <f t="shared" ref="F21:F30" si="6">F4*$F$16</f>
        <v>35646.764971372249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92053.37005706504</v>
      </c>
    </row>
    <row r="22" spans="1:17">
      <c r="A22" s="477" t="s">
        <v>156</v>
      </c>
      <c r="B22" s="478">
        <f t="shared" ca="1" si="2"/>
        <v>29359.5623896867</v>
      </c>
      <c r="C22" s="478">
        <f t="shared" ca="1" si="3"/>
        <v>22.915966386554619</v>
      </c>
      <c r="D22" s="478">
        <f t="shared" ca="1" si="4"/>
        <v>21688.50073916946</v>
      </c>
      <c r="E22" s="478">
        <f t="shared" si="5"/>
        <v>439.75713259381178</v>
      </c>
      <c r="F22" s="478">
        <f t="shared" ca="1" si="6"/>
        <v>7421.1360836070389</v>
      </c>
      <c r="G22" s="478">
        <f t="shared" si="7"/>
        <v>0</v>
      </c>
      <c r="H22" s="478">
        <f t="shared" si="8"/>
        <v>0</v>
      </c>
      <c r="I22" s="478">
        <f t="shared" si="9"/>
        <v>0</v>
      </c>
      <c r="J22" s="478">
        <f t="shared" si="10"/>
        <v>0.12408301337006412</v>
      </c>
      <c r="K22" s="478">
        <f t="shared" si="11"/>
        <v>0</v>
      </c>
      <c r="L22" s="478">
        <f t="shared" ca="1" si="12"/>
        <v>0</v>
      </c>
      <c r="M22" s="478">
        <f t="shared" si="13"/>
        <v>0</v>
      </c>
      <c r="N22" s="478">
        <f t="shared" ca="1" si="14"/>
        <v>0</v>
      </c>
      <c r="O22" s="478">
        <f t="shared" si="15"/>
        <v>0</v>
      </c>
      <c r="P22" s="479">
        <f t="shared" si="16"/>
        <v>0</v>
      </c>
      <c r="Q22" s="477">
        <f t="shared" ref="Q22:Q30" ca="1" si="17">SUM(B22:P22)</f>
        <v>58931.996394456932</v>
      </c>
    </row>
    <row r="23" spans="1:17">
      <c r="A23" s="477" t="s">
        <v>194</v>
      </c>
      <c r="B23" s="478">
        <f t="shared" ca="1" si="2"/>
        <v>721.5457433629889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721.5457433629889</v>
      </c>
    </row>
    <row r="24" spans="1:17">
      <c r="A24" s="477" t="s">
        <v>112</v>
      </c>
      <c r="B24" s="478">
        <f t="shared" ca="1" si="2"/>
        <v>56.890199918763436</v>
      </c>
      <c r="C24" s="478">
        <f t="shared" ca="1" si="3"/>
        <v>0</v>
      </c>
      <c r="D24" s="478">
        <f t="shared" si="4"/>
        <v>51.613473692000007</v>
      </c>
      <c r="E24" s="478">
        <f t="shared" si="5"/>
        <v>2.1075478463366366</v>
      </c>
      <c r="F24" s="478">
        <f t="shared" si="6"/>
        <v>351.34336925372372</v>
      </c>
      <c r="G24" s="478">
        <f t="shared" si="7"/>
        <v>0</v>
      </c>
      <c r="H24" s="478">
        <f t="shared" si="8"/>
        <v>0</v>
      </c>
      <c r="I24" s="478">
        <f t="shared" si="9"/>
        <v>0</v>
      </c>
      <c r="J24" s="478">
        <f t="shared" si="10"/>
        <v>16.199967567694337</v>
      </c>
      <c r="K24" s="478">
        <f t="shared" si="11"/>
        <v>0</v>
      </c>
      <c r="L24" s="478">
        <f t="shared" si="12"/>
        <v>0</v>
      </c>
      <c r="M24" s="478">
        <f t="shared" si="13"/>
        <v>0</v>
      </c>
      <c r="N24" s="478">
        <f t="shared" si="14"/>
        <v>0</v>
      </c>
      <c r="O24" s="478">
        <f t="shared" si="15"/>
        <v>0</v>
      </c>
      <c r="P24" s="479">
        <f t="shared" si="16"/>
        <v>0</v>
      </c>
      <c r="Q24" s="477">
        <f t="shared" ca="1" si="17"/>
        <v>478.15455827851815</v>
      </c>
    </row>
    <row r="25" spans="1:17">
      <c r="A25" s="477" t="s">
        <v>635</v>
      </c>
      <c r="B25" s="478">
        <f t="shared" ca="1" si="2"/>
        <v>41843.697003585003</v>
      </c>
      <c r="C25" s="478">
        <f t="shared" ca="1" si="3"/>
        <v>0</v>
      </c>
      <c r="D25" s="478">
        <f t="shared" si="4"/>
        <v>15884.330402545</v>
      </c>
      <c r="E25" s="478">
        <f t="shared" si="5"/>
        <v>7976.1138342915474</v>
      </c>
      <c r="F25" s="478">
        <f t="shared" si="6"/>
        <v>26960.946171976375</v>
      </c>
      <c r="G25" s="478">
        <f t="shared" si="7"/>
        <v>0</v>
      </c>
      <c r="H25" s="478">
        <f t="shared" si="8"/>
        <v>0</v>
      </c>
      <c r="I25" s="478">
        <f t="shared" si="9"/>
        <v>0</v>
      </c>
      <c r="J25" s="478">
        <f t="shared" si="10"/>
        <v>1.3193713806446417</v>
      </c>
      <c r="K25" s="478">
        <f t="shared" si="11"/>
        <v>0</v>
      </c>
      <c r="L25" s="478">
        <f t="shared" si="12"/>
        <v>0</v>
      </c>
      <c r="M25" s="478">
        <f t="shared" si="13"/>
        <v>0</v>
      </c>
      <c r="N25" s="478">
        <f t="shared" si="14"/>
        <v>0</v>
      </c>
      <c r="O25" s="478">
        <f t="shared" si="15"/>
        <v>0</v>
      </c>
      <c r="P25" s="479">
        <f t="shared" si="16"/>
        <v>0</v>
      </c>
      <c r="Q25" s="477">
        <f t="shared" ca="1" si="17"/>
        <v>92666.40678377857</v>
      </c>
    </row>
    <row r="26" spans="1:17" s="483" customFormat="1">
      <c r="A26" s="481" t="s">
        <v>561</v>
      </c>
      <c r="B26" s="835">
        <f t="shared" ca="1" si="2"/>
        <v>27.507601761169187</v>
      </c>
      <c r="C26" s="482">
        <f t="shared" ca="1" si="3"/>
        <v>0</v>
      </c>
      <c r="D26" s="482">
        <f t="shared" si="4"/>
        <v>103.35639067484149</v>
      </c>
      <c r="E26" s="482">
        <f t="shared" si="5"/>
        <v>171.83347289284112</v>
      </c>
      <c r="F26" s="482">
        <f t="shared" si="6"/>
        <v>0</v>
      </c>
      <c r="G26" s="482">
        <f t="shared" si="7"/>
        <v>75806.196818535449</v>
      </c>
      <c r="H26" s="482">
        <f t="shared" si="8"/>
        <v>14655.252656618948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90764.146940483246</v>
      </c>
    </row>
    <row r="27" spans="1:17">
      <c r="A27" s="477" t="s">
        <v>551</v>
      </c>
      <c r="B27" s="478">
        <f t="shared" ca="1" si="2"/>
        <v>0</v>
      </c>
      <c r="C27" s="478">
        <f t="shared" ca="1" si="3"/>
        <v>0</v>
      </c>
      <c r="D27" s="478">
        <f t="shared" si="4"/>
        <v>0</v>
      </c>
      <c r="E27" s="478">
        <f t="shared" si="5"/>
        <v>0</v>
      </c>
      <c r="F27" s="478">
        <f t="shared" si="6"/>
        <v>0</v>
      </c>
      <c r="G27" s="478">
        <f t="shared" si="7"/>
        <v>3809.9546731303521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3809.9546731303521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93814.107378937057</v>
      </c>
      <c r="C31" s="488">
        <f t="shared" ca="1" si="18"/>
        <v>22.915966386554619</v>
      </c>
      <c r="D31" s="488">
        <f t="shared" ca="1" si="18"/>
        <v>71708.231621181505</v>
      </c>
      <c r="E31" s="488">
        <f t="shared" si="18"/>
        <v>9211.0820175946847</v>
      </c>
      <c r="F31" s="488">
        <f t="shared" ca="1" si="18"/>
        <v>70380.190596209388</v>
      </c>
      <c r="G31" s="488">
        <f t="shared" si="18"/>
        <v>79616.151491665805</v>
      </c>
      <c r="H31" s="488">
        <f t="shared" si="18"/>
        <v>14655.252656618948</v>
      </c>
      <c r="I31" s="488">
        <f t="shared" si="18"/>
        <v>0</v>
      </c>
      <c r="J31" s="488">
        <f t="shared" si="18"/>
        <v>17.643421961709045</v>
      </c>
      <c r="K31" s="488">
        <f t="shared" si="18"/>
        <v>0</v>
      </c>
      <c r="L31" s="488">
        <f t="shared" ca="1" si="18"/>
        <v>0</v>
      </c>
      <c r="M31" s="488">
        <f t="shared" si="18"/>
        <v>0</v>
      </c>
      <c r="N31" s="488">
        <f t="shared" ca="1" si="18"/>
        <v>0</v>
      </c>
      <c r="O31" s="488">
        <f t="shared" si="18"/>
        <v>0</v>
      </c>
      <c r="P31" s="489">
        <f t="shared" si="18"/>
        <v>0</v>
      </c>
      <c r="Q31" s="489">
        <f t="shared" ca="1" si="18"/>
        <v>339425.57515055564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0.18010699983051018</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0.18010699983051018</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0.18010699983051018</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2018-09-06T12:49:04Z</dcterms:modified>
</cp:coreProperties>
</file>