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P31"/>
  <c r="I14"/>
  <c r="P13" i="14"/>
  <c r="P15" s="1"/>
  <c r="P23" s="1"/>
  <c r="P55" s="1"/>
  <c r="E7" i="48"/>
  <c r="E24"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17" i="19" s="1"/>
  <c r="C19" s="1"/>
  <c r="D35"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6" i="22"/>
  <c r="C29" i="20"/>
  <c r="C17" i="49"/>
  <c r="Q5" i="48"/>
  <c r="F22" i="16"/>
  <c r="G39" i="14" s="1"/>
  <c r="G41" s="1"/>
  <c r="F8" i="48"/>
  <c r="Q4"/>
  <c r="N22"/>
  <c r="R11" i="14"/>
  <c r="J21" i="48"/>
  <c r="R10" i="14"/>
  <c r="C56" i="22" l="1"/>
  <c r="C58" s="1"/>
  <c r="D44" i="14" s="1"/>
  <c r="D46" s="1"/>
  <c r="C10" i="17"/>
  <c r="C12" s="1"/>
  <c r="D48" i="14" s="1"/>
  <c r="O13"/>
  <c r="O15" s="1"/>
  <c r="C10" i="13"/>
  <c r="C16" i="48" s="1"/>
  <c r="C30" s="1"/>
  <c r="C20" i="16"/>
  <c r="C22" s="1"/>
  <c r="D39" i="14" s="1"/>
  <c r="C18" i="15"/>
  <c r="C20" s="1"/>
  <c r="D36" i="14"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12" i="13"/>
  <c r="D37" i="14" s="1"/>
  <c r="D41" s="1"/>
  <c r="C23" i="48"/>
  <c r="C24"/>
  <c r="C29"/>
  <c r="C21"/>
  <c r="C26"/>
  <c r="F25"/>
  <c r="F31" s="1"/>
  <c r="F14"/>
  <c r="C27" l="1"/>
  <c r="C31" s="1"/>
  <c r="C28"/>
  <c r="C22"/>
  <c r="R13" i="14"/>
  <c r="R15" s="1"/>
  <c r="R23" s="1"/>
  <c r="C25" i="48"/>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<sst xmlns="http://schemas.openxmlformats.org/spreadsheetml/2006/main" count="1923" uniqueCount="815">
  <si>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</si>
  <si>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</si>
  <si>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</si>
  <si>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</si>
  <si>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</si>
  <si>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</si>
  <si>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</si>
  <si>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</si>
  <si>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</si>
  <si>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</si>
  <si>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</si>
  <si>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</si>
  <si>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</si>
  <si>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</si>
  <si>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</si>
  <si>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</si>
  <si>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</si>
  <si>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</si>
  <si>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</si>
  <si>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</si>
  <si>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</si>
  <si>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</si>
  <si>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</si>
  <si>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</si>
  <si>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</si>
  <si>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</si>
  <si>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</si>
  <si>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</si>
  <si>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</si>
  <si>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</si>
  <si>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</si>
  <si>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</si>
  <si>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</si>
  <si>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</si>
  <si>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</si>
  <si>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</si>
  <si>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</si>
  <si>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</si>
  <si>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</si>
  <si>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</si>
  <si>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</si>
  <si>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</si>
  <si>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</si>
  <si>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</si>
  <si>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</si>
  <si>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</si>
  <si>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</si>
  <si>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</si>
  <si>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</si>
  <si>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</si>
  <si>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</si>
  <si>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</si>
  <si>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</si>
  <si>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</si>
  <si>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</si>
  <si>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</si>
  <si>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</si>
  <si>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</si>
  <si>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</si>
  <si>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</si>
  <si>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</si>
  <si>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</si>
  <si>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</si>
  <si>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</si>
  <si>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</si>
  <si>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</si>
  <si>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</si>
  <si>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</si>
  <si>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</si>
  <si>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</si>
  <si>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</si>
  <si>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</si>
  <si>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</si>
  <si>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</si>
  <si>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</si>
  <si>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</si>
  <si>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</si>
  <si>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</si>
  <si>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</si>
  <si>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</si>
  <si>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</si>
  <si>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</si>
  <si>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</si>
  <si>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</si>
  <si>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</si>
  <si>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</si>
  <si>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</si>
  <si>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</si>
  <si>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</si>
  <si>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</si>
  <si>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</si>
  <si>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</si>
  <si>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</si>
  <si>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</si>
  <si>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</si>
  <si>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</si>
  <si>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</si>
  <si>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</si>
  <si>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</si>
  <si>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</si>
  <si>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</si>
  <si>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</si>
  <si>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</si>
  <si>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</si>
  <si>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</si>
  <si>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</si>
  <si>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</si>
  <si>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</si>
  <si>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</si>
  <si>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</si>
  <si>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</si>
  <si>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</si>
  <si>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</si>
  <si>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</si>
  <si>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</si>
  <si>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</si>
  <si>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</si>
  <si>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</si>
  <si>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</si>
  <si>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</si>
  <si>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</si>
  <si>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</si>
  <si>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</si>
  <si>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</si>
  <si>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</si>
  <si>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</si>
  <si>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</si>
  <si>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</si>
  <si>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</si>
  <si>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</si>
  <si>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</si>
  <si>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</si>
  <si>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</si>
  <si>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</si>
  <si>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</si>
  <si>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</si>
  <si>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</si>
  <si>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</si>
  <si>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</si>
  <si>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</si>
  <si>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</si>
  <si>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</si>
  <si>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</si>
  <si>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</si>
  <si>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</si>
  <si>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</si>
  <si>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</si>
  <si>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</si>
  <si>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</si>
  <si>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</si>
  <si>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</si>
  <si>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</si>
  <si>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</si>
  <si>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</si>
  <si>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</si>
  <si>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</si>
  <si>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</si>
  <si>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</si>
  <si>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</si>
  <si>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</si>
  <si>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</si>
  <si>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</si>
  <si>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</si>
  <si>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</si>
  <si>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</si>
  <si>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</si>
  <si>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</si>
  <si>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</si>
  <si>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</si>
  <si>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</si>
  <si>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</si>
  <si>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</si>
  <si>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</si>
  <si>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</si>
  <si>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</si>
  <si>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</si>
  <si>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</si>
  <si>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</si>
  <si>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</si>
  <si>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</si>
  <si>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</si>
  <si>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</si>
  <si>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</si>
  <si>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</si>
  <si>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</si>
  <si>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</si>
  <si>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</si>
  <si>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</si>
  <si>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</si>
  <si>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</si>
  <si>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</si>
  <si>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</si>
  <si>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</si>
  <si>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</si>
  <si>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</si>
  <si>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</si>
  <si>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</si>
  <si>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</si>
  <si>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</si>
  <si>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</si>
  <si>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</si>
  <si>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</si>
  <si>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</si>
  <si>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</si>
  <si>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</si>
  <si>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</si>
  <si>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</si>
  <si>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</si>
  <si>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</si>
  <si>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</si>
  <si>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</si>
  <si>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</si>
  <si>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</si>
  <si>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</si>
  <si>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</si>
  <si>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</si>
  <si>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</si>
  <si>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</si>
  <si>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</si>
  <si>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</si>
  <si>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</si>
  <si>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</si>
  <si>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</si>
  <si>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</si>
  <si>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</si>
  <si>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</si>
  <si>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</si>
  <si>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</si>
  <si>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</si>
  <si>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</si>
  <si>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</si>
  <si>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</si>
  <si>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</si>
  <si>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</si>
  <si>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</si>
  <si>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</si>
  <si>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</si>
  <si>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</si>
  <si>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</si>
  <si>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</si>
  <si>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</si>
  <si>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</si>
  <si>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</si>
  <si>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</si>
  <si>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</si>
  <si>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</si>
  <si>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</si>
  <si>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</si>
  <si>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</si>
  <si>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</si>
  <si>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</si>
  <si>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</si>
  <si>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</si>
  <si>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</si>
  <si>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</si>
  <si>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</si>
  <si>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</si>
  <si>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</si>
  <si>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</si>
  <si>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</si>
  <si>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</si>
  <si>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</si>
  <si>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</si>
  <si>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</si>
  <si>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</si>
  <si>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</si>
  <si>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</si>
  <si>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</si>
  <si>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</si>
  <si>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</si>
  <si>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</si>
  <si>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</si>
  <si>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</si>
  <si>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</si>
  <si>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</si>
  <si>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</si>
  <si>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</si>
  <si>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</si>
  <si>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</si>
  <si>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</si>
  <si>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</si>
  <si>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</si>
  <si>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</si>
  <si>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</si>
  <si>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</si>
  <si>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</si>
  <si>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</si>
  <si>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</si>
  <si>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</si>
  <si>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</si>
  <si>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</si>
  <si>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</si>
  <si>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</si>
  <si>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</si>
  <si>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</si>
  <si>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</si>
  <si>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</si>
  <si>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</si>
  <si>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</si>
  <si>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</si>
  <si>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</si>
  <si>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</si>
  <si>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</si>
  <si>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</si>
  <si>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</si>
  <si>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</si>
  <si>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</si>
  <si>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</si>
  <si>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</si>
  <si>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</si>
  <si>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</si>
  <si>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</si>
  <si>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</si>
  <si>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</si>
  <si>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</si>
  <si>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</si>
  <si>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</si>
  <si>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</si>
  <si>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</si>
  <si>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</si>
  <si>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</si>
  <si>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</si>
  <si>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</si>
  <si>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</si>
  <si>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</si>
  <si>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</si>
  <si>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</si>
  <si>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</si>
  <si>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</si>
  <si>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</si>
  <si>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</si>
  <si>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</si>
  <si>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</si>
  <si>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</si>
  <si>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</si>
  <si>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</si>
  <si>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</si>
  <si>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</si>
  <si>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</si>
  <si>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</si>
  <si>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</si>
  <si>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</si>
  <si>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</si>
  <si>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</si>
  <si>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</si>
  <si>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</si>
  <si>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</si>
  <si>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</si>
  <si>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</si>
  <si>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</si>
  <si>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</si>
  <si>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</si>
  <si>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</si>
  <si>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</si>
  <si>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</si>
  <si>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</si>
  <si>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</si>
  <si>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</si>
  <si>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</si>
  <si>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</si>
  <si>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</si>
  <si>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</si>
  <si>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</si>
  <si>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</si>
  <si>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</si>
  <si>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</si>
  <si>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</si>
  <si>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</si>
  <si>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</si>
  <si>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</si>
  <si>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</si>
  <si>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</si>
  <si>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</si>
  <si>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</si>
  <si>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</si>
  <si>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</si>
  <si>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</si>
  <si>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</si>
  <si>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</si>
  <si>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</si>
  <si>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</si>
  <si>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</si>
  <si>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</si>
  <si>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</si>
  <si>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</si>
  <si>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</si>
  <si>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</si>
  <si>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</si>
  <si>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</si>
  <si>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</si>
  <si>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</si>
  <si>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</si>
  <si>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</si>
  <si>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</si>
  <si>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</si>
  <si>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</si>
  <si>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</si>
  <si>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</si>
  <si>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</si>
  <si>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</si>
  <si>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</si>
  <si>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</si>
  <si>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</si>
  <si>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</si>
  <si>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</si>
  <si>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</si>
  <si>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</si>
  <si>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</si>
  <si>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</si>
  <si>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</si>
  <si>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</si>
  <si>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</si>
  <si>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</si>
  <si>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</si>
  <si>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</si>
  <si>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</si>
  <si>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</si>
  <si>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</si>
  <si>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</si>
  <si>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</si>
  <si>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</si>
  <si>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</si>
  <si>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</si>
  <si>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</si>
  <si>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</si>
  <si>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</si>
  <si>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</si>
  <si>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</si>
  <si>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</si>
  <si>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</si>
  <si>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</si>
  <si>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</si>
  <si>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</si>
  <si>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</si>
  <si>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</si>
  <si>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</si>
  <si>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</si>
  <si>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</si>
  <si>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</si>
  <si>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</si>
  <si>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</si>
  <si>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</si>
  <si>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</si>
  <si>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</si>
  <si>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</si>
  <si>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</si>
  <si>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</si>
  <si>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</si>
  <si>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</si>
  <si>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</si>
  <si>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</si>
  <si>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</si>
  <si>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</si>
  <si>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</si>
  <si>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</si>
  <si>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</si>
  <si>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</si>
  <si>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</si>
  <si>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</si>
  <si>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</si>
  <si>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</si>
  <si>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</si>
  <si>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</si>
  <si>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</si>
  <si>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</si>
  <si>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</si>
  <si>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</si>
  <si>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</si>
  <si>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</si>
  <si>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</si>
  <si>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</si>
  <si>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</si>
  <si>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</si>
  <si>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</si>
  <si>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</si>
  <si>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</si>
  <si>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</si>
  <si>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</si>
  <si>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</si>
  <si>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</si>
  <si>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</si>
  <si>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</si>
  <si>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</si>
  <si>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</si>
  <si>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</si>
  <si>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</si>
  <si>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</si>
  <si>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</si>
  <si>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</si>
  <si>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</si>
  <si>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</si>
  <si>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</si>
  <si>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</si>
  <si>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</si>
  <si>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</si>
  <si>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</si>
  <si>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</si>
  <si>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</si>
  <si>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</si>
  <si>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</si>
  <si>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</si>
  <si>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</si>
  <si>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</si>
  <si>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</si>
  <si>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</si>
  <si>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</si>
  <si>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</si>
  <si>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</si>
  <si>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</si>
  <si>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</si>
  <si>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</si>
  <si>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</si>
  <si>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</si>
  <si>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</si>
  <si>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</si>
  <si>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</si>
  <si>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</si>
  <si>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</si>
  <si>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</si>
  <si>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</si>
  <si>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</si>
  <si>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</si>
  <si>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</si>
  <si>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</si>
  <si>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</si>
  <si>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</si>
  <si>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</si>
  <si>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</si>
  <si>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</si>
  <si>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</si>
  <si>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</si>
  <si>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</si>
  <si>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</si>
  <si>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</si>
  <si>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</si>
  <si>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</si>
  <si>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</si>
  <si>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</si>
  <si>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</si>
  <si>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</si>
  <si>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</si>
  <si>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</si>
  <si>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</si>
  <si>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</si>
  <si>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</si>
  <si>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</si>
  <si>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</si>
  <si>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</si>
  <si>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</si>
  <si>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</si>
  <si>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</si>
  <si>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</si>
  <si>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</si>
  <si>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</si>
  <si>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</si>
  <si>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</si>
  <si>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</si>
  <si>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</si>
  <si>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</si>
  <si>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</si>
  <si>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</si>
  <si>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</si>
  <si>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</si>
  <si>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</si>
  <si>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</si>
  <si>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</si>
  <si>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</si>
  <si>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</si>
  <si>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</si>
  <si>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</si>
  <si>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</si>
  <si>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</si>
  <si>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</si>
  <si>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</si>
  <si>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</si>
  <si>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</si>
  <si>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</si>
  <si>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</si>
  <si>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</si>
  <si>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</si>
  <si>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</si>
  <si>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</si>
  <si>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</si>
  <si>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</si>
  <si>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</si>
  <si>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</si>
  <si>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</si>
  <si>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</si>
  <si>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</si>
  <si>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</si>
  <si>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</si>
  <si>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</si>
  <si>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</si>
  <si>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</si>
  <si>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</si>
  <si>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</si>
  <si>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</si>
  <si>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</si>
  <si>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</si>
  <si>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</si>
  <si>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</si>
  <si>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</si>
  <si>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</si>
  <si>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</si>
  <si>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</si>
  <si>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</si>
  <si>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</si>
  <si>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</si>
  <si>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</si>
  <si>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</si>
  <si>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</si>
  <si>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</si>
  <si>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</si>
  <si>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</si>
  <si>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</si>
  <si>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</si>
  <si>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</si>
  <si>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</si>
  <si>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</si>
  <si>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</si>
  <si>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</si>
  <si>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</si>
  <si>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</si>
  <si>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</si>
  <si>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</si>
  <si>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</si>
  <si>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</si>
  <si>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</si>
  <si>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</si>
  <si>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</si>
  <si>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</si>
  <si>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</si>
  <si>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</si>
  <si>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</si>
  <si>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</si>
  <si>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</si>
  <si>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</si>
  <si>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</si>
  <si>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</si>
  <si>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</si>
  <si>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</si>
  <si>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</si>
  <si>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</si>
  <si>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</si>
  <si>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</si>
  <si>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</si>
  <si>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</si>
  <si>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</si>
  <si>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</si>
  <si>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</si>
  <si>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</si>
  <si>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</si>
  <si>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</si>
  <si>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</si>
  <si>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</si>
  <si>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</si>
  <si>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</si>
  <si>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</si>
  <si>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</si>
  <si>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</si>
  <si>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</si>
  <si>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</si>
  <si>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</si>
  <si>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</si>
  <si>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</si>
  <si>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</si>
  <si>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</si>
  <si>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</si>
  <si>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</si>
  <si>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</si>
  <si>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</si>
  <si>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</si>
  <si>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</si>
  <si>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</si>
  <si>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</si>
  <si>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</si>
  <si>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</si>
  <si>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</si>
  <si>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</si>
  <si>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</si>
  <si>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</si>
  <si>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</si>
  <si>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</si>
  <si>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</si>
  <si>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</si>
  <si>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</si>
  <si>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</si>
  <si>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</si>
  <si>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</si>
  <si>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</si>
  <si>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</si>
  <si>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</si>
  <si>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</si>
  <si>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</si>
  <si>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</si>
  <si>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</si>
  <si>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</si>
  <si>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</si>
  <si>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</si>
  <si>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</si>
  <si>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</si>
  <si>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</si>
  <si>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</si>
  <si>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</si>
  <si>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</si>
  <si>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</si>
  <si>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</si>
  <si>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</si>
  <si>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</si>
  <si>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</si>
  <si>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</si>
  <si>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</si>
  <si>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</si>
  <si>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</si>
  <si>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</si>
  <si>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</si>
  <si>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</si>
  <si>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</si>
  <si>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</si>
  <si>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</si>
  <si>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</si>
  <si>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</si>
  <si>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</si>
  <si>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</si>
  <si>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</si>
  <si>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</si>
  <si>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</si>
  <si>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</si>
  <si>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</si>
  <si>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</si>
  <si>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</si>
  <si>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</si>
  <si>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</si>
  <si>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</si>
  <si>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</si>
  <si>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</si>
  <si>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</si>
  <si>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</si>
  <si>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</si>
  <si>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</si>
  <si>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</si>
  <si>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</si>
  <si>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</si>
  <si>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</si>
  <si>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</si>
  <si>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</si>
  <si>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</si>
  <si>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</si>
  <si>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</si>
  <si>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</si>
  <si>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</si>
  <si>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</si>
  <si>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</si>
  <si>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</si>
  <si>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</si>
  <si>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</si>
  <si>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</si>
  <si>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</si>
  <si>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</si>
  <si>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</si>
  <si>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</si>
  <si>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</si>
  <si>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</si>
  <si>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</si>
  <si>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</si>
  <si>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</si>
  <si>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</si>
  <si>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</si>
  <si>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</si>
  <si>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</si>
  <si>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</si>
  <si>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</si>
  <si>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</si>
  <si>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</si>
  <si>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</si>
  <si>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</si>
  <si>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</si>
  <si>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</si>
  <si>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</si>
  <si>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</si>
  <si>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</si>
  <si>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</si>
  <si>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</si>
  <si>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</si>
  <si>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</si>
  <si>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</si>
  <si>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</si>
  <si>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</si>
  <si>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</si>
  <si>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</si>
  <si>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</si>
  <si>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</si>
  <si>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</si>
  <si>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</si>
  <si>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</si>
  <si>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</si>
  <si>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</si>
  <si>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</si>
  <si>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</si>
  <si>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</si>
  <si>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</si>
  <si>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71011</t>
  </si>
  <si>
    <t>DIEPENBEEK</t>
  </si>
  <si>
    <t>Eandis (januari 2018); Infrax (juni 2018)</t>
  </si>
  <si>
    <t>MOW (september 2017)</t>
  </si>
  <si>
    <t>referentietaak LNE (2017); Jaarverslag De Lijn (2016)</t>
  </si>
  <si>
    <t>VEA (april 2018)</t>
  </si>
  <si>
    <t>VEA (januari 2017)</t>
  </si>
  <si>
    <t>VEA (juni 2018)</t>
  </si>
  <si>
    <t>UC Limburg vzw</t>
  </si>
  <si>
    <t>Agoralaan gebouw B bus 3, 3590 Diepenbeek</t>
  </si>
  <si>
    <t>WKK-0136 KH Limburg</t>
  </si>
  <si>
    <t>interne verbrandingsmotor</t>
  </si>
  <si>
    <t>WKK interne verbrandinsgmotor (gas)</t>
  </si>
  <si>
    <t>Inter-Energa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</si>
</sst>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164772.99329101466</c:v>
                </c:pt>
                <c:pt idx="1">
                  <c:v>54949.508381590429</c:v>
                </c:pt>
                <c:pt idx="2">
                  <c:v>735.23</c:v>
                </c:pt>
                <c:pt idx="3">
                  <c:v>3789.7761623380625</c:v>
                </c:pt>
                <c:pt idx="4">
                  <c:v>22103.197650232043</c:v>
                </c:pt>
                <c:pt idx="5">
                  <c:v>201202.4763545297</c:v>
                </c:pt>
                <c:pt idx="6">
                  <c:v>3688.5856662906967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56454272"/>
        <c:axId val="156456064"/>
      </c:barChart>
      <c:catAx>
        <c:axId val="156454272"/>
        <c:scaling>
          <c:orientation val="minMax"/>
        </c:scaling>
        <c:axPos val="b"/>
        <c:numFmt formatCode="General" sourceLinked="0"/>
        <c:tickLblPos val="nextTo"/>
        <c:crossAx val="156456064"/>
        <c:crosses val="autoZero"/>
        <c:auto val="1"/>
        <c:lblAlgn val="ctr"/>
        <c:lblOffset val="100"/>
      </c:catAx>
      <c:valAx>
        <c:axId val="156456064"/>
        <c:scaling>
          <c:orientation val="minMax"/>
        </c:scaling>
        <c:axPos val="l"/>
        <c:majorGridlines/>
        <c:numFmt formatCode="#,##0" sourceLinked="1"/>
        <c:tickLblPos val="nextTo"/>
        <c:crossAx val="1564542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164772.99329101466</c:v>
                </c:pt>
                <c:pt idx="1">
                  <c:v>54949.508381590429</c:v>
                </c:pt>
                <c:pt idx="2">
                  <c:v>735.23</c:v>
                </c:pt>
                <c:pt idx="3">
                  <c:v>3789.7761623380625</c:v>
                </c:pt>
                <c:pt idx="4">
                  <c:v>22103.197650232043</c:v>
                </c:pt>
                <c:pt idx="5">
                  <c:v>201202.4763545297</c:v>
                </c:pt>
                <c:pt idx="6">
                  <c:v>3688.5856662906967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31221.621325030177</c:v>
                </c:pt>
                <c:pt idx="1">
                  <c:v>10645.964627536472</c:v>
                </c:pt>
                <c:pt idx="2">
                  <c:v>139.76127668634663</c:v>
                </c:pt>
                <c:pt idx="3">
                  <c:v>965.4016814464718</c:v>
                </c:pt>
                <c:pt idx="4">
                  <c:v>4309.9641647177987</c:v>
                </c:pt>
                <c:pt idx="5">
                  <c:v>50359.058942428252</c:v>
                </c:pt>
                <c:pt idx="6">
                  <c:v>931.92324654236609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940544"/>
        <c:axId val="156950528"/>
      </c:barChart>
      <c:catAx>
        <c:axId val="156940544"/>
        <c:scaling>
          <c:orientation val="minMax"/>
        </c:scaling>
        <c:axPos val="b"/>
        <c:numFmt formatCode="General" sourceLinked="0"/>
        <c:tickLblPos val="nextTo"/>
        <c:crossAx val="156950528"/>
        <c:crosses val="autoZero"/>
        <c:auto val="1"/>
        <c:lblAlgn val="ctr"/>
        <c:lblOffset val="100"/>
      </c:catAx>
      <c:valAx>
        <c:axId val="156950528"/>
        <c:scaling>
          <c:orientation val="minMax"/>
        </c:scaling>
        <c:axPos val="l"/>
        <c:majorGridlines/>
        <c:numFmt formatCode="#,##0" sourceLinked="1"/>
        <c:tickLblPos val="nextTo"/>
        <c:crossAx val="1569405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31221.621325030177</c:v>
                </c:pt>
                <c:pt idx="1">
                  <c:v>10645.964627536472</c:v>
                </c:pt>
                <c:pt idx="2">
                  <c:v>139.76127668634663</c:v>
                </c:pt>
                <c:pt idx="3">
                  <c:v>965.4016814464718</c:v>
                </c:pt>
                <c:pt idx="4">
                  <c:v>4309.9641647177987</c:v>
                </c:pt>
                <c:pt idx="5">
                  <c:v>50359.058942428252</c:v>
                </c:pt>
                <c:pt idx="6">
                  <c:v>931.92324654236609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71011</v>
      </c>
      <c r="B6" s="415"/>
      <c r="C6" s="416"/>
    </row>
    <row r="7" spans="1:7" s="413" customFormat="1" ht="15.75" customHeight="1">
      <c r="A7" s="417" t="str">
        <f>txtMunicipality</f>
        <v>DIEPENBEEK</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71011</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7822</v>
      </c>
      <c r="C9" s="342">
        <v>7870</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1450.3</v>
      </c>
    </row>
    <row r="15" spans="1:6">
      <c r="A15" s="348" t="s">
        <v>184</v>
      </c>
      <c r="B15" s="334">
        <v>13</v>
      </c>
    </row>
    <row r="16" spans="1:6">
      <c r="A16" s="348" t="s">
        <v>6</v>
      </c>
      <c r="B16" s="334">
        <v>619</v>
      </c>
    </row>
    <row r="17" spans="1:6">
      <c r="A17" s="348" t="s">
        <v>7</v>
      </c>
      <c r="B17" s="334">
        <v>275</v>
      </c>
    </row>
    <row r="18" spans="1:6">
      <c r="A18" s="348" t="s">
        <v>8</v>
      </c>
      <c r="B18" s="334">
        <v>502</v>
      </c>
    </row>
    <row r="19" spans="1:6">
      <c r="A19" s="348" t="s">
        <v>9</v>
      </c>
      <c r="B19" s="334">
        <v>487</v>
      </c>
    </row>
    <row r="20" spans="1:6">
      <c r="A20" s="348" t="s">
        <v>10</v>
      </c>
      <c r="B20" s="334">
        <v>251</v>
      </c>
    </row>
    <row r="21" spans="1:6">
      <c r="A21" s="348" t="s">
        <v>11</v>
      </c>
      <c r="B21" s="334">
        <v>503</v>
      </c>
    </row>
    <row r="22" spans="1:6">
      <c r="A22" s="348" t="s">
        <v>12</v>
      </c>
      <c r="B22" s="334">
        <v>1966</v>
      </c>
    </row>
    <row r="23" spans="1:6">
      <c r="A23" s="348" t="s">
        <v>13</v>
      </c>
      <c r="B23" s="334">
        <v>0</v>
      </c>
    </row>
    <row r="24" spans="1:6">
      <c r="A24" s="348" t="s">
        <v>14</v>
      </c>
      <c r="B24" s="334">
        <v>0</v>
      </c>
    </row>
    <row r="25" spans="1:6">
      <c r="A25" s="348" t="s">
        <v>15</v>
      </c>
      <c r="B25" s="334">
        <v>0</v>
      </c>
    </row>
    <row r="26" spans="1:6">
      <c r="A26" s="348" t="s">
        <v>16</v>
      </c>
      <c r="B26" s="334">
        <v>116</v>
      </c>
    </row>
    <row r="27" spans="1:6">
      <c r="A27" s="348" t="s">
        <v>17</v>
      </c>
      <c r="B27" s="334">
        <v>0</v>
      </c>
    </row>
    <row r="28" spans="1:6" s="356" customFormat="1">
      <c r="A28" s="355" t="s">
        <v>18</v>
      </c>
      <c r="B28" s="355">
        <v>25187</v>
      </c>
    </row>
    <row r="29" spans="1:6">
      <c r="A29" s="355" t="s">
        <v>744</v>
      </c>
      <c r="B29" s="355">
        <v>75</v>
      </c>
      <c r="C29" s="356"/>
      <c r="D29" s="356"/>
      <c r="E29" s="356"/>
      <c r="F29" s="356"/>
    </row>
    <row r="30" spans="1:6">
      <c r="A30" s="341" t="s">
        <v>745</v>
      </c>
      <c r="B30" s="341">
        <v>31</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621949</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4123</v>
      </c>
      <c r="D39" s="334">
        <v>60274870.050000004</v>
      </c>
      <c r="E39" s="334">
        <v>7800</v>
      </c>
      <c r="F39" s="334">
        <v>26441949.300000001</v>
      </c>
    </row>
    <row r="40" spans="1:6">
      <c r="A40" s="348" t="s">
        <v>30</v>
      </c>
      <c r="B40" s="348" t="s">
        <v>29</v>
      </c>
      <c r="C40" s="334">
        <v>0</v>
      </c>
      <c r="D40" s="334">
        <v>0</v>
      </c>
      <c r="E40" s="334">
        <v>0</v>
      </c>
      <c r="F40" s="334">
        <v>0</v>
      </c>
    </row>
    <row r="41" spans="1:6">
      <c r="A41" s="348" t="s">
        <v>32</v>
      </c>
      <c r="B41" s="348" t="s">
        <v>33</v>
      </c>
      <c r="C41" s="334">
        <v>61</v>
      </c>
      <c r="D41" s="334">
        <v>2043062.2500000002</v>
      </c>
      <c r="E41" s="334">
        <v>156</v>
      </c>
      <c r="F41" s="334">
        <v>5594655.8000000007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11</v>
      </c>
      <c r="F44" s="334">
        <v>2418372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0</v>
      </c>
      <c r="D48" s="334">
        <v>0</v>
      </c>
      <c r="E48" s="334">
        <v>0</v>
      </c>
      <c r="F48" s="334">
        <v>0</v>
      </c>
    </row>
    <row r="49" spans="1:6">
      <c r="A49" s="348" t="s">
        <v>32</v>
      </c>
      <c r="B49" s="348" t="s">
        <v>40</v>
      </c>
      <c r="C49" s="334">
        <v>0</v>
      </c>
      <c r="D49" s="334">
        <v>0</v>
      </c>
      <c r="E49" s="334">
        <v>3</v>
      </c>
      <c r="F49" s="334">
        <v>45159</v>
      </c>
    </row>
    <row r="50" spans="1:6">
      <c r="A50" s="348" t="s">
        <v>32</v>
      </c>
      <c r="B50" s="348" t="s">
        <v>41</v>
      </c>
      <c r="C50" s="334">
        <v>8</v>
      </c>
      <c r="D50" s="334">
        <v>2805752</v>
      </c>
      <c r="E50" s="334">
        <v>12</v>
      </c>
      <c r="F50" s="334">
        <v>1234660</v>
      </c>
    </row>
    <row r="51" spans="1:6">
      <c r="A51" s="348" t="s">
        <v>42</v>
      </c>
      <c r="B51" s="348" t="s">
        <v>43</v>
      </c>
      <c r="C51" s="334">
        <v>0</v>
      </c>
      <c r="D51" s="334">
        <v>0</v>
      </c>
      <c r="E51" s="334">
        <v>43</v>
      </c>
      <c r="F51" s="334">
        <v>709667</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3</v>
      </c>
      <c r="F54" s="334">
        <v>735230</v>
      </c>
    </row>
    <row r="55" spans="1:6">
      <c r="A55" s="348" t="s">
        <v>46</v>
      </c>
      <c r="B55" s="348" t="s">
        <v>29</v>
      </c>
      <c r="C55" s="334">
        <v>0</v>
      </c>
      <c r="D55" s="334">
        <v>0</v>
      </c>
      <c r="E55" s="334">
        <v>0</v>
      </c>
      <c r="F55" s="334">
        <v>0</v>
      </c>
    </row>
    <row r="56" spans="1:6">
      <c r="A56" s="348" t="s">
        <v>48</v>
      </c>
      <c r="B56" s="348" t="s">
        <v>29</v>
      </c>
      <c r="C56" s="334">
        <v>6</v>
      </c>
      <c r="D56" s="334">
        <v>4672514</v>
      </c>
      <c r="E56" s="334">
        <v>11</v>
      </c>
      <c r="F56" s="334">
        <v>3763892</v>
      </c>
    </row>
    <row r="57" spans="1:6">
      <c r="A57" s="348" t="s">
        <v>49</v>
      </c>
      <c r="B57" s="348" t="s">
        <v>50</v>
      </c>
      <c r="C57" s="334">
        <v>53</v>
      </c>
      <c r="D57" s="334">
        <v>3673827</v>
      </c>
      <c r="E57" s="334">
        <v>76</v>
      </c>
      <c r="F57" s="334">
        <v>2535691</v>
      </c>
    </row>
    <row r="58" spans="1:6">
      <c r="A58" s="348" t="s">
        <v>49</v>
      </c>
      <c r="B58" s="348" t="s">
        <v>51</v>
      </c>
      <c r="C58" s="334">
        <v>24</v>
      </c>
      <c r="D58" s="334">
        <v>2729177</v>
      </c>
      <c r="E58" s="334">
        <v>41</v>
      </c>
      <c r="F58" s="334">
        <v>1453641</v>
      </c>
    </row>
    <row r="59" spans="1:6">
      <c r="A59" s="348" t="s">
        <v>49</v>
      </c>
      <c r="B59" s="348" t="s">
        <v>52</v>
      </c>
      <c r="C59" s="334">
        <v>92</v>
      </c>
      <c r="D59" s="334">
        <v>2934049</v>
      </c>
      <c r="E59" s="334">
        <v>179</v>
      </c>
      <c r="F59" s="334">
        <v>5473331.5499999998</v>
      </c>
    </row>
    <row r="60" spans="1:6">
      <c r="A60" s="348" t="s">
        <v>49</v>
      </c>
      <c r="B60" s="348" t="s">
        <v>53</v>
      </c>
      <c r="C60" s="334">
        <v>41</v>
      </c>
      <c r="D60" s="334">
        <v>1654277</v>
      </c>
      <c r="E60" s="334">
        <v>73</v>
      </c>
      <c r="F60" s="334">
        <v>1332303.55</v>
      </c>
    </row>
    <row r="61" spans="1:6">
      <c r="A61" s="348" t="s">
        <v>49</v>
      </c>
      <c r="B61" s="348" t="s">
        <v>54</v>
      </c>
      <c r="C61" s="334">
        <v>104</v>
      </c>
      <c r="D61" s="334">
        <v>6330499</v>
      </c>
      <c r="E61" s="334">
        <v>319</v>
      </c>
      <c r="F61" s="334">
        <v>8502495.25</v>
      </c>
    </row>
    <row r="62" spans="1:6">
      <c r="A62" s="348" t="s">
        <v>49</v>
      </c>
      <c r="B62" s="348" t="s">
        <v>55</v>
      </c>
      <c r="C62" s="334">
        <v>20</v>
      </c>
      <c r="D62" s="334">
        <v>12372066</v>
      </c>
      <c r="E62" s="334">
        <v>25</v>
      </c>
      <c r="F62" s="334">
        <v>2602712</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3</v>
      </c>
      <c r="D68" s="334">
        <v>137068</v>
      </c>
      <c r="E68" s="334">
        <v>10</v>
      </c>
      <c r="F68" s="334">
        <v>177853</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114236398</v>
      </c>
      <c r="E73" s="476">
        <v>165300351.12575513</v>
      </c>
    </row>
    <row r="74" spans="1:6">
      <c r="A74" s="348" t="s">
        <v>64</v>
      </c>
      <c r="B74" s="348" t="s">
        <v>657</v>
      </c>
      <c r="C74" s="1213" t="s">
        <v>659</v>
      </c>
      <c r="D74" s="476">
        <v>10248499.960435504</v>
      </c>
      <c r="E74" s="476">
        <v>15252320.991640929</v>
      </c>
    </row>
    <row r="75" spans="1:6">
      <c r="A75" s="348" t="s">
        <v>65</v>
      </c>
      <c r="B75" s="348" t="s">
        <v>656</v>
      </c>
      <c r="C75" s="1213" t="s">
        <v>660</v>
      </c>
      <c r="D75" s="476">
        <v>33005540</v>
      </c>
      <c r="E75" s="476">
        <v>46641785.318738937</v>
      </c>
    </row>
    <row r="76" spans="1:6">
      <c r="A76" s="348" t="s">
        <v>65</v>
      </c>
      <c r="B76" s="348" t="s">
        <v>657</v>
      </c>
      <c r="C76" s="1213" t="s">
        <v>661</v>
      </c>
      <c r="D76" s="476">
        <v>23798.5</v>
      </c>
      <c r="E76" s="476">
        <v>34064.261583642496</v>
      </c>
    </row>
    <row r="77" spans="1:6">
      <c r="A77" s="348" t="s">
        <v>66</v>
      </c>
      <c r="B77" s="348" t="s">
        <v>656</v>
      </c>
      <c r="C77" s="1213" t="s">
        <v>662</v>
      </c>
      <c r="D77" s="476">
        <v>75191396</v>
      </c>
      <c r="E77" s="476">
        <v>77303557.681332141</v>
      </c>
    </row>
    <row r="78" spans="1:6">
      <c r="A78" s="341" t="s">
        <v>66</v>
      </c>
      <c r="B78" s="341" t="s">
        <v>657</v>
      </c>
      <c r="C78" s="341" t="s">
        <v>663</v>
      </c>
      <c r="D78" s="1214">
        <v>9799408</v>
      </c>
      <c r="E78" s="1214">
        <v>9256314.2105291151</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1000406.0791289916</v>
      </c>
      <c r="C83" s="476">
        <v>1022964.1614280606</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7264.5164335446143</v>
      </c>
    </row>
    <row r="92" spans="1:6">
      <c r="A92" s="341" t="s">
        <v>69</v>
      </c>
      <c r="B92" s="342">
        <v>2074.771287486471</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1118</v>
      </c>
    </row>
    <row r="98" spans="1:6">
      <c r="A98" s="348" t="s">
        <v>72</v>
      </c>
      <c r="B98" s="334">
        <v>3</v>
      </c>
    </row>
    <row r="99" spans="1:6">
      <c r="A99" s="348" t="s">
        <v>73</v>
      </c>
      <c r="B99" s="334">
        <v>35</v>
      </c>
    </row>
    <row r="100" spans="1:6">
      <c r="A100" s="348" t="s">
        <v>74</v>
      </c>
      <c r="B100" s="334">
        <v>338</v>
      </c>
    </row>
    <row r="101" spans="1:6">
      <c r="A101" s="348" t="s">
        <v>75</v>
      </c>
      <c r="B101" s="334">
        <v>82</v>
      </c>
    </row>
    <row r="102" spans="1:6">
      <c r="A102" s="348" t="s">
        <v>76</v>
      </c>
      <c r="B102" s="334">
        <v>67</v>
      </c>
    </row>
    <row r="103" spans="1:6">
      <c r="A103" s="348" t="s">
        <v>77</v>
      </c>
      <c r="B103" s="334">
        <v>126</v>
      </c>
    </row>
    <row r="104" spans="1:6">
      <c r="A104" s="348" t="s">
        <v>78</v>
      </c>
      <c r="B104" s="334">
        <v>4617</v>
      </c>
    </row>
    <row r="105" spans="1:6">
      <c r="A105" s="341" t="s">
        <v>79</v>
      </c>
      <c r="B105" s="341">
        <v>4</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77</v>
      </c>
      <c r="C123" s="334">
        <v>80</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219</v>
      </c>
    </row>
    <row r="130" spans="1:6">
      <c r="A130" s="348" t="s">
        <v>295</v>
      </c>
      <c r="B130" s="334">
        <v>6</v>
      </c>
    </row>
    <row r="131" spans="1:6">
      <c r="A131" s="348" t="s">
        <v>296</v>
      </c>
      <c r="B131" s="334">
        <v>3</v>
      </c>
    </row>
    <row r="132" spans="1:6">
      <c r="A132" s="341" t="s">
        <v>297</v>
      </c>
      <c r="B132" s="342">
        <v>53</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66656.889894166554</v>
      </c>
      <c r="C3" s="43" t="s">
        <v>170</v>
      </c>
      <c r="D3" s="43"/>
      <c r="E3" s="154"/>
      <c r="F3" s="43"/>
      <c r="G3" s="43"/>
      <c r="H3" s="43"/>
      <c r="I3" s="43"/>
      <c r="J3" s="43"/>
      <c r="K3" s="96"/>
    </row>
    <row r="4" spans="1:11">
      <c r="A4" s="383" t="s">
        <v>171</v>
      </c>
      <c r="B4" s="49">
        <f>IF(ISERROR('SEAP template'!B69),0,'SEAP template'!B69)</f>
        <v>9564.2877210310853</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53.470588235294116</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0.1900919123081847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76.386554621848759</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321.42857142857144</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735.23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735.23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0.1900919123081847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139.76127668634663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26441.9493</v>
      </c>
      <c r="C5" s="17">
        <f>IF(ISERROR('Eigen informatie GS &amp; warmtenet'!B57),0,'Eigen informatie GS &amp; warmtenet'!B57)</f>
        <v>0</v>
      </c>
      <c r="D5" s="30">
        <f>(SUM(HH_hh_gas_kWh,HH_rest_gas_kWh)/1000)*0.902</f>
        <v>54367.932785100005</v>
      </c>
      <c r="E5" s="17">
        <f>B46*B57</f>
        <v>2697.9841590502947</v>
      </c>
      <c r="F5" s="17">
        <f>B51*B62</f>
        <v>49511.348201856781</v>
      </c>
      <c r="G5" s="18"/>
      <c r="H5" s="17"/>
      <c r="I5" s="17"/>
      <c r="J5" s="17">
        <f>B50*B61+C50*C61</f>
        <v>0</v>
      </c>
      <c r="K5" s="17"/>
      <c r="L5" s="17"/>
      <c r="M5" s="17"/>
      <c r="N5" s="17">
        <f>B48*B59+C48*C59</f>
        <v>21541.595744796301</v>
      </c>
      <c r="O5" s="17">
        <f>B69*B70*B71</f>
        <v>469</v>
      </c>
      <c r="P5" s="17">
        <f>B77*B78*B79/1000-B77*B78*B79/1000/B80</f>
        <v>2478.6666666666665</v>
      </c>
    </row>
    <row r="6" spans="1:16">
      <c r="A6" s="16" t="s">
        <v>621</v>
      </c>
      <c r="B6" s="843">
        <f>kWh_PV_kleiner_dan_10kW</f>
        <v>7264.5164335446143</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33706.465733544617</v>
      </c>
      <c r="C8" s="21">
        <f>C5</f>
        <v>0</v>
      </c>
      <c r="D8" s="21">
        <f>D5</f>
        <v>54367.932785100005</v>
      </c>
      <c r="E8" s="21">
        <f>E5</f>
        <v>2697.9841590502947</v>
      </c>
      <c r="F8" s="21">
        <f>F5</f>
        <v>49511.348201856781</v>
      </c>
      <c r="G8" s="21"/>
      <c r="H8" s="21"/>
      <c r="I8" s="21"/>
      <c r="J8" s="21">
        <f>J5</f>
        <v>0</v>
      </c>
      <c r="K8" s="21"/>
      <c r="L8" s="21">
        <f>L5</f>
        <v>0</v>
      </c>
      <c r="M8" s="21">
        <f>M5</f>
        <v>0</v>
      </c>
      <c r="N8" s="21">
        <f>N5</f>
        <v>21541.595744796301</v>
      </c>
      <c r="O8" s="21">
        <f>O5</f>
        <v>469</v>
      </c>
      <c r="P8" s="21">
        <f>P5</f>
        <v>2478.6666666666665</v>
      </c>
    </row>
    <row r="9" spans="1:16">
      <c r="B9" s="19"/>
      <c r="C9" s="19"/>
      <c r="D9" s="258"/>
      <c r="E9" s="19"/>
      <c r="F9" s="19"/>
      <c r="G9" s="19"/>
      <c r="H9" s="19"/>
      <c r="I9" s="19"/>
      <c r="J9" s="19"/>
      <c r="K9" s="19"/>
      <c r="L9" s="19"/>
      <c r="M9" s="19"/>
      <c r="N9" s="19"/>
      <c r="O9" s="19"/>
      <c r="P9" s="19"/>
    </row>
    <row r="10" spans="1:16">
      <c r="A10" s="24" t="s">
        <v>214</v>
      </c>
      <c r="B10" s="25">
        <f ca="1">'EF ele_warmte'!B12</f>
        <v>0.1900919123081847</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6407.3265284397958</v>
      </c>
      <c r="C12" s="23">
        <f ca="1">C10*C8</f>
        <v>0</v>
      </c>
      <c r="D12" s="23">
        <f>D8*D10</f>
        <v>10982.322422590201</v>
      </c>
      <c r="E12" s="23">
        <f>E10*E8</f>
        <v>612.44240410441694</v>
      </c>
      <c r="F12" s="23">
        <f>F10*F8</f>
        <v>13219.529969895761</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1118</v>
      </c>
      <c r="C18" s="166" t="s">
        <v>111</v>
      </c>
      <c r="D18" s="228"/>
      <c r="E18" s="15"/>
    </row>
    <row r="19" spans="1:7">
      <c r="A19" s="171" t="s">
        <v>72</v>
      </c>
      <c r="B19" s="37">
        <f>aantalw2001_ander</f>
        <v>3</v>
      </c>
      <c r="C19" s="166" t="s">
        <v>111</v>
      </c>
      <c r="D19" s="229"/>
      <c r="E19" s="15"/>
    </row>
    <row r="20" spans="1:7">
      <c r="A20" s="171" t="s">
        <v>73</v>
      </c>
      <c r="B20" s="37">
        <f>aantalw2001_propaan</f>
        <v>35</v>
      </c>
      <c r="C20" s="167">
        <f>IF(ISERROR(B20/SUM($B$20,$B$21,$B$22)*100),0,B20/SUM($B$20,$B$21,$B$22)*100)</f>
        <v>7.6923076923076925</v>
      </c>
      <c r="D20" s="229"/>
      <c r="E20" s="15"/>
    </row>
    <row r="21" spans="1:7">
      <c r="A21" s="171" t="s">
        <v>74</v>
      </c>
      <c r="B21" s="37">
        <f>aantalw2001_elektriciteit</f>
        <v>338</v>
      </c>
      <c r="C21" s="167">
        <f>IF(ISERROR(B21/SUM($B$20,$B$21,$B$22)*100),0,B21/SUM($B$20,$B$21,$B$22)*100)</f>
        <v>74.285714285714292</v>
      </c>
      <c r="D21" s="229"/>
      <c r="E21" s="15"/>
    </row>
    <row r="22" spans="1:7">
      <c r="A22" s="171" t="s">
        <v>75</v>
      </c>
      <c r="B22" s="37">
        <f>aantalw2001_hout</f>
        <v>82</v>
      </c>
      <c r="C22" s="167">
        <f>IF(ISERROR(B22/SUM($B$20,$B$21,$B$22)*100),0,B22/SUM($B$20,$B$21,$B$22)*100)</f>
        <v>18.021978021978022</v>
      </c>
      <c r="D22" s="229"/>
      <c r="E22" s="15"/>
    </row>
    <row r="23" spans="1:7">
      <c r="A23" s="171" t="s">
        <v>76</v>
      </c>
      <c r="B23" s="37">
        <f>aantalw2001_niet_gespec</f>
        <v>67</v>
      </c>
      <c r="C23" s="166" t="s">
        <v>111</v>
      </c>
      <c r="D23" s="228"/>
      <c r="E23" s="15"/>
    </row>
    <row r="24" spans="1:7">
      <c r="A24" s="171" t="s">
        <v>77</v>
      </c>
      <c r="B24" s="37">
        <f>aantalw2001_steenkool</f>
        <v>126</v>
      </c>
      <c r="C24" s="166" t="s">
        <v>111</v>
      </c>
      <c r="D24" s="229"/>
      <c r="E24" s="15"/>
    </row>
    <row r="25" spans="1:7">
      <c r="A25" s="171" t="s">
        <v>78</v>
      </c>
      <c r="B25" s="37">
        <f>aantalw2001_stookolie</f>
        <v>4617</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794</v>
      </c>
      <c r="B28" s="37">
        <f>aantalHuishoudens2011</f>
        <v>7822</v>
      </c>
      <c r="C28" s="36"/>
      <c r="D28" s="228"/>
    </row>
    <row r="29" spans="1:7" s="15" customFormat="1">
      <c r="A29" s="230" t="s">
        <v>795</v>
      </c>
      <c r="B29" s="37">
        <f>SUM(HH_hh_gas_aantal,HH_rest_gas_aantal)</f>
        <v>4123</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4123</v>
      </c>
      <c r="C32" s="167">
        <f>IF(ISERROR(B32/SUM($B$32,$B$34,$B$35,$B$36,$B$38,$B$39)*100),0,B32/SUM($B$32,$B$34,$B$35,$B$36,$B$38,$B$39)*100)</f>
        <v>53.601144045761828</v>
      </c>
      <c r="D32" s="233"/>
      <c r="G32" s="15"/>
    </row>
    <row r="33" spans="1:7">
      <c r="A33" s="171" t="s">
        <v>72</v>
      </c>
      <c r="B33" s="34" t="s">
        <v>111</v>
      </c>
      <c r="C33" s="167"/>
      <c r="D33" s="233"/>
      <c r="G33" s="15"/>
    </row>
    <row r="34" spans="1:7">
      <c r="A34" s="171" t="s">
        <v>73</v>
      </c>
      <c r="B34" s="33">
        <f>IF((($B$28-$B$32-$B$39-$B$77-$B$38)*C20/100)&lt;0,0,($B$28-$B$32-$B$39-$B$77-$B$38)*C20/100)</f>
        <v>127.42307692307693</v>
      </c>
      <c r="C34" s="167">
        <f>IF(ISERROR(B34/SUM($B$32,$B$34,$B$35,$B$36,$B$38,$B$39)*100),0,B34/SUM($B$32,$B$34,$B$35,$B$36,$B$38,$B$39)*100)</f>
        <v>1.6565662626505058</v>
      </c>
      <c r="D34" s="233"/>
      <c r="G34" s="15"/>
    </row>
    <row r="35" spans="1:7">
      <c r="A35" s="171" t="s">
        <v>74</v>
      </c>
      <c r="B35" s="33">
        <f>IF((($B$28-$B$32-$B$39-$B$77-$B$38)*C21/100)&lt;0,0,($B$28-$B$32-$B$39-$B$77-$B$38)*C21/100)</f>
        <v>1230.5428571428572</v>
      </c>
      <c r="C35" s="167">
        <f>IF(ISERROR(B35/SUM($B$32,$B$34,$B$35,$B$36,$B$38,$B$39)*100),0,B35/SUM($B$32,$B$34,$B$35,$B$36,$B$38,$B$39)*100)</f>
        <v>15.997697050739172</v>
      </c>
      <c r="D35" s="233"/>
      <c r="G35" s="15"/>
    </row>
    <row r="36" spans="1:7">
      <c r="A36" s="171" t="s">
        <v>75</v>
      </c>
      <c r="B36" s="33">
        <f>IF((($B$28-$B$32-$B$39-$B$77-$B$38)*C22/100)&lt;0,0,($B$28-$B$32-$B$39-$B$77-$B$38)*C22/100)</f>
        <v>298.53406593406595</v>
      </c>
      <c r="C36" s="167">
        <f>IF(ISERROR(B36/SUM($B$32,$B$34,$B$35,$B$36,$B$38,$B$39)*100),0,B36/SUM($B$32,$B$34,$B$35,$B$36,$B$38,$B$39)*100)</f>
        <v>3.8810981010668995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1912.5</v>
      </c>
      <c r="C39" s="167">
        <f>IF(ISERROR(B39/SUM($B$32,$B$34,$B$35,$B$36,$B$38,$B$39)*100),0,B39/SUM($B$32,$B$34,$B$35,$B$36,$B$38,$B$39)*100)</f>
        <v>24.863494539781588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4123</v>
      </c>
      <c r="C44" s="34" t="s">
        <v>111</v>
      </c>
      <c r="D44" s="174"/>
    </row>
    <row r="45" spans="1:7">
      <c r="A45" s="171" t="s">
        <v>72</v>
      </c>
      <c r="B45" s="33" t="str">
        <f t="shared" si="0"/>
        <v>-</v>
      </c>
      <c r="C45" s="34" t="s">
        <v>111</v>
      </c>
      <c r="D45" s="174"/>
    </row>
    <row r="46" spans="1:7">
      <c r="A46" s="171" t="s">
        <v>73</v>
      </c>
      <c r="B46" s="33">
        <f t="shared" si="0"/>
        <v>127.42307692307693</v>
      </c>
      <c r="C46" s="34" t="s">
        <v>111</v>
      </c>
      <c r="D46" s="174"/>
    </row>
    <row r="47" spans="1:7">
      <c r="A47" s="171" t="s">
        <v>74</v>
      </c>
      <c r="B47" s="33">
        <f t="shared" si="0"/>
        <v>1230.5428571428572</v>
      </c>
      <c r="C47" s="34" t="s">
        <v>111</v>
      </c>
      <c r="D47" s="174"/>
    </row>
    <row r="48" spans="1:7">
      <c r="A48" s="171" t="s">
        <v>75</v>
      </c>
      <c r="B48" s="33">
        <f t="shared" si="0"/>
        <v>298.53406593406595</v>
      </c>
      <c r="C48" s="33">
        <f>B48*10</f>
        <v>2985.3406593406594</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1912.5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300</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130</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21900.174349999998</v>
      </c>
      <c r="C5" s="17">
        <f>IF(ISERROR('Eigen informatie GS &amp; warmtenet'!B58),0,'Eigen informatie GS &amp; warmtenet'!B58)</f>
        <v>0</v>
      </c>
      <c r="D5" s="30">
        <f>SUM(D6:D12)</f>
        <v>26783.89329</v>
      </c>
      <c r="E5" s="17">
        <f>SUM(E6:E12)</f>
        <v>260.03291346055346</v>
      </c>
      <c r="F5" s="17">
        <f>SUM(F6:F12)</f>
        <v>3836.0491137224099</v>
      </c>
      <c r="G5" s="18"/>
      <c r="H5" s="17"/>
      <c r="I5" s="17"/>
      <c r="J5" s="17">
        <f>SUM(J6:J12)</f>
        <v>5.5039911975732769E-2</v>
      </c>
      <c r="K5" s="17"/>
      <c r="L5" s="17"/>
      <c r="M5" s="17"/>
      <c r="N5" s="17">
        <f>SUM(N6:N12)</f>
        <v>2199.1522459240628</v>
      </c>
      <c r="O5" s="17">
        <f>B38*B39*B40</f>
        <v>9.3800000000000008</v>
      </c>
      <c r="P5" s="17">
        <f>B46*B47*B48/1000-B46*B47*B48/1000/B49</f>
        <v>57.2</v>
      </c>
      <c r="R5" s="32"/>
    </row>
    <row r="6" spans="1:18">
      <c r="A6" s="32" t="s">
        <v>54</v>
      </c>
      <c r="B6" s="37">
        <f>B26</f>
        <v>8502.4952499999999</v>
      </c>
      <c r="C6" s="33"/>
      <c r="D6" s="37">
        <f>IF(ISERROR(TER_kantoor_gas_kWh/1000),0,TER_kantoor_gas_kWh/1000)*0.902</f>
        <v>5710.1100980000001</v>
      </c>
      <c r="E6" s="33">
        <f>$C$26*'E Balans VL '!I12/100/3.6*1000000</f>
        <v>5.3290812341382665E-2</v>
      </c>
      <c r="F6" s="33">
        <f>$C$26*('E Balans VL '!L12+'E Balans VL '!N12)/100/3.6*1000000</f>
        <v>1277.6874536985897</v>
      </c>
      <c r="G6" s="34"/>
      <c r="H6" s="33"/>
      <c r="I6" s="33"/>
      <c r="J6" s="33">
        <f>$C$26*('E Balans VL '!D12+'E Balans VL '!E12)/100/3.6*1000000</f>
        <v>0</v>
      </c>
      <c r="K6" s="33"/>
      <c r="L6" s="33"/>
      <c r="M6" s="33"/>
      <c r="N6" s="33">
        <f>$C$26*'E Balans VL '!Y12/100/3.6*1000000</f>
        <v>8.1313760733570408</v>
      </c>
      <c r="O6" s="33"/>
      <c r="P6" s="33"/>
      <c r="R6" s="32"/>
    </row>
    <row r="7" spans="1:18">
      <c r="A7" s="32" t="s">
        <v>53</v>
      </c>
      <c r="B7" s="37">
        <f t="shared" ref="B7:B12" si="0">B27</f>
        <v>1332.3035500000001</v>
      </c>
      <c r="C7" s="33"/>
      <c r="D7" s="37">
        <f>IF(ISERROR(TER_horeca_gas_kWh/1000),0,TER_horeca_gas_kWh/1000)*0.902</f>
        <v>1492.157854</v>
      </c>
      <c r="E7" s="33">
        <f>$C$27*'E Balans VL '!I9/100/3.6*1000000</f>
        <v>19.07836491659257</v>
      </c>
      <c r="F7" s="33">
        <f>$C$27*('E Balans VL '!L9+'E Balans VL '!N9)/100/3.6*1000000</f>
        <v>168.71357049394652</v>
      </c>
      <c r="G7" s="34"/>
      <c r="H7" s="33"/>
      <c r="I7" s="33"/>
      <c r="J7" s="33">
        <f>$C$27*('E Balans VL '!D9+'E Balans VL '!E9)/100/3.6*1000000</f>
        <v>0</v>
      </c>
      <c r="K7" s="33"/>
      <c r="L7" s="33"/>
      <c r="M7" s="33"/>
      <c r="N7" s="33">
        <f>$C$27*'E Balans VL '!Y9/100/3.6*1000000</f>
        <v>0.38300789585324313</v>
      </c>
      <c r="O7" s="33"/>
      <c r="P7" s="33"/>
      <c r="R7" s="32"/>
    </row>
    <row r="8" spans="1:18">
      <c r="A8" s="6" t="s">
        <v>52</v>
      </c>
      <c r="B8" s="37">
        <f t="shared" si="0"/>
        <v>5473.3315499999999</v>
      </c>
      <c r="C8" s="33"/>
      <c r="D8" s="37">
        <f>IF(ISERROR(TER_handel_gas_kWh/1000),0,TER_handel_gas_kWh/1000)*0.902</f>
        <v>2646.5121979999999</v>
      </c>
      <c r="E8" s="33">
        <f>$C$28*'E Balans VL '!I13/100/3.6*1000000</f>
        <v>198.51706037749165</v>
      </c>
      <c r="F8" s="33">
        <f>$C$28*('E Balans VL '!L13+'E Balans VL '!N13)/100/3.6*1000000</f>
        <v>1054.2190775355011</v>
      </c>
      <c r="G8" s="34"/>
      <c r="H8" s="33"/>
      <c r="I8" s="33"/>
      <c r="J8" s="33">
        <f>$C$28*('E Balans VL '!D13+'E Balans VL '!E13)/100/3.6*1000000</f>
        <v>0</v>
      </c>
      <c r="K8" s="33"/>
      <c r="L8" s="33"/>
      <c r="M8" s="33"/>
      <c r="N8" s="33">
        <f>$C$28*'E Balans VL '!Y13/100/3.6*1000000</f>
        <v>7.5818235541739964</v>
      </c>
      <c r="O8" s="33"/>
      <c r="P8" s="33"/>
      <c r="R8" s="32"/>
    </row>
    <row r="9" spans="1:18">
      <c r="A9" s="32" t="s">
        <v>51</v>
      </c>
      <c r="B9" s="37">
        <f t="shared" si="0"/>
        <v>1453.6410000000001</v>
      </c>
      <c r="C9" s="33"/>
      <c r="D9" s="37">
        <f>IF(ISERROR(TER_gezond_gas_kWh/1000),0,TER_gezond_gas_kWh/1000)*0.902</f>
        <v>2461.717654</v>
      </c>
      <c r="E9" s="33">
        <f>$C$29*'E Balans VL '!I10/100/3.6*1000000</f>
        <v>9.1012278712016031E-2</v>
      </c>
      <c r="F9" s="33">
        <f>$C$29*('E Balans VL '!L10+'E Balans VL '!N10)/100/3.6*1000000</f>
        <v>215.94279646534309</v>
      </c>
      <c r="G9" s="34"/>
      <c r="H9" s="33"/>
      <c r="I9" s="33"/>
      <c r="J9" s="33">
        <f>$C$29*('E Balans VL '!D10+'E Balans VL '!E10)/100/3.6*1000000</f>
        <v>0</v>
      </c>
      <c r="K9" s="33"/>
      <c r="L9" s="33"/>
      <c r="M9" s="33"/>
      <c r="N9" s="33">
        <f>$C$29*'E Balans VL '!Y10/100/3.6*1000000</f>
        <v>22.485059252366678</v>
      </c>
      <c r="O9" s="33"/>
      <c r="P9" s="33"/>
      <c r="R9" s="32"/>
    </row>
    <row r="10" spans="1:18">
      <c r="A10" s="32" t="s">
        <v>50</v>
      </c>
      <c r="B10" s="37">
        <f t="shared" si="0"/>
        <v>2535.6909999999998</v>
      </c>
      <c r="C10" s="33"/>
      <c r="D10" s="37">
        <f>IF(ISERROR(TER_ander_gas_kWh/1000),0,TER_ander_gas_kWh/1000)*0.902</f>
        <v>3313.7919540000003</v>
      </c>
      <c r="E10" s="33">
        <f>$C$30*'E Balans VL '!I14/100/3.6*1000000</f>
        <v>3.0224530617141077</v>
      </c>
      <c r="F10" s="33">
        <f>$C$30*('E Balans VL '!L14+'E Balans VL '!N14)/100/3.6*1000000</f>
        <v>663.44949356785116</v>
      </c>
      <c r="G10" s="34"/>
      <c r="H10" s="33"/>
      <c r="I10" s="33"/>
      <c r="J10" s="33">
        <f>$C$30*('E Balans VL '!D14+'E Balans VL '!E14)/100/3.6*1000000</f>
        <v>5.5039911975732769E-2</v>
      </c>
      <c r="K10" s="33"/>
      <c r="L10" s="33"/>
      <c r="M10" s="33"/>
      <c r="N10" s="33">
        <f>$C$30*'E Balans VL '!Y14/100/3.6*1000000</f>
        <v>2153.2467497146104</v>
      </c>
      <c r="O10" s="33"/>
      <c r="P10" s="33"/>
      <c r="R10" s="32"/>
    </row>
    <row r="11" spans="1:18">
      <c r="A11" s="32" t="s">
        <v>55</v>
      </c>
      <c r="B11" s="37">
        <f t="shared" si="0"/>
        <v>2602.712</v>
      </c>
      <c r="C11" s="33"/>
      <c r="D11" s="37">
        <f>IF(ISERROR(TER_onderwijs_gas_kWh/1000),0,TER_onderwijs_gas_kWh/1000)*0.902</f>
        <v>11159.603532000001</v>
      </c>
      <c r="E11" s="33">
        <f>$C$31*'E Balans VL '!I11/100/3.6*1000000</f>
        <v>39.270732013701696</v>
      </c>
      <c r="F11" s="33">
        <f>$C$31*('E Balans VL '!L11+'E Balans VL '!N11)/100/3.6*1000000</f>
        <v>456.03672196117805</v>
      </c>
      <c r="G11" s="34"/>
      <c r="H11" s="33"/>
      <c r="I11" s="33"/>
      <c r="J11" s="33">
        <f>$C$31*('E Balans VL '!D11+'E Balans VL '!E11)/100/3.6*1000000</f>
        <v>0</v>
      </c>
      <c r="K11" s="33"/>
      <c r="L11" s="33"/>
      <c r="M11" s="33"/>
      <c r="N11" s="33">
        <f>$C$31*'E Balans VL '!Y11/100/3.6*1000000</f>
        <v>7.3242294337013361</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225</v>
      </c>
      <c r="C13" s="247">
        <f ca="1">'lokale energieproductie'!O90+'lokale energieproductie'!O59</f>
        <v>321.42857142857144</v>
      </c>
      <c r="D13" s="310">
        <f ca="1">('lokale energieproductie'!P59+'lokale energieproductie'!P90)*(-1)</f>
        <v>-642.85714285714289</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22125.174349999998</v>
      </c>
      <c r="C16" s="21">
        <f t="shared" ca="1" si="1"/>
        <v>321.42857142857144</v>
      </c>
      <c r="D16" s="21">
        <f t="shared" ca="1" si="1"/>
        <v>26141.036147142859</v>
      </c>
      <c r="E16" s="21">
        <f t="shared" si="1"/>
        <v>260.03291346055346</v>
      </c>
      <c r="F16" s="21">
        <f t="shared" ca="1" si="1"/>
        <v>3836.0491137224099</v>
      </c>
      <c r="G16" s="21">
        <f t="shared" si="1"/>
        <v>0</v>
      </c>
      <c r="H16" s="21">
        <f t="shared" si="1"/>
        <v>0</v>
      </c>
      <c r="I16" s="21">
        <f t="shared" si="1"/>
        <v>0</v>
      </c>
      <c r="J16" s="21">
        <f t="shared" si="1"/>
        <v>5.5039911975732769E-2</v>
      </c>
      <c r="K16" s="21">
        <f t="shared" si="1"/>
        <v>0</v>
      </c>
      <c r="L16" s="21">
        <f t="shared" ca="1" si="1"/>
        <v>0</v>
      </c>
      <c r="M16" s="21">
        <f t="shared" si="1"/>
        <v>0</v>
      </c>
      <c r="N16" s="21">
        <f t="shared" ca="1" si="1"/>
        <v>2199.1522459240628</v>
      </c>
      <c r="O16" s="21">
        <f>O5</f>
        <v>9.3800000000000008</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0.1900919123081847</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4205.8167023434971</v>
      </c>
      <c r="C20" s="23">
        <f t="shared" ref="C20:P20" ca="1" si="2">C16*C18</f>
        <v>76.386554621848759</v>
      </c>
      <c r="D20" s="23">
        <f t="shared" ca="1" si="2"/>
        <v>5280.4893017228578</v>
      </c>
      <c r="E20" s="23">
        <f t="shared" si="2"/>
        <v>59.027471355545636</v>
      </c>
      <c r="F20" s="23">
        <f t="shared" ca="1" si="2"/>
        <v>1024.2251133638836</v>
      </c>
      <c r="G20" s="23">
        <f t="shared" si="2"/>
        <v>0</v>
      </c>
      <c r="H20" s="23">
        <f t="shared" si="2"/>
        <v>0</v>
      </c>
      <c r="I20" s="23">
        <f t="shared" si="2"/>
        <v>0</v>
      </c>
      <c r="J20" s="23">
        <f t="shared" si="2"/>
        <v>1.9484128839409399E-2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8502.4952499999999</v>
      </c>
      <c r="C26" s="39">
        <f>IF(ISERROR(B26*3.6/1000000/'E Balans VL '!Z12*100),0,B26*3.6/1000000/'E Balans VL '!Z12*100)</f>
        <v>0.1797292805445613</v>
      </c>
      <c r="D26" s="237" t="s">
        <v>754</v>
      </c>
      <c r="F26" s="6"/>
    </row>
    <row r="27" spans="1:18">
      <c r="A27" s="231" t="s">
        <v>53</v>
      </c>
      <c r="B27" s="33">
        <f>IF(ISERROR(TER_horeca_ele_kWh/1000),0,TER_horeca_ele_kWh/1000)</f>
        <v>1332.3035500000001</v>
      </c>
      <c r="C27" s="39">
        <f>IF(ISERROR(B27*3.6/1000000/'E Balans VL '!Z9*100),0,B27*3.6/1000000/'E Balans VL '!Z9*100)</f>
        <v>0.10502499227161588</v>
      </c>
      <c r="D27" s="237" t="s">
        <v>754</v>
      </c>
      <c r="F27" s="6"/>
    </row>
    <row r="28" spans="1:18">
      <c r="A28" s="171" t="s">
        <v>52</v>
      </c>
      <c r="B28" s="33">
        <f>IF(ISERROR(TER_handel_ele_kWh/1000),0,TER_handel_ele_kWh/1000)</f>
        <v>5473.3315499999999</v>
      </c>
      <c r="C28" s="39">
        <f>IF(ISERROR(B28*3.6/1000000/'E Balans VL '!Z13*100),0,B28*3.6/1000000/'E Balans VL '!Z13*100)</f>
        <v>0.15885819631855333</v>
      </c>
      <c r="D28" s="237" t="s">
        <v>754</v>
      </c>
      <c r="F28" s="6"/>
    </row>
    <row r="29" spans="1:18">
      <c r="A29" s="231" t="s">
        <v>51</v>
      </c>
      <c r="B29" s="33">
        <f>IF(ISERROR(TER_gezond_ele_kWh/1000),0,TER_gezond_ele_kWh/1000)</f>
        <v>1453.6410000000001</v>
      </c>
      <c r="C29" s="39">
        <f>IF(ISERROR(B29*3.6/1000000/'E Balans VL '!Z10*100),0,B29*3.6/1000000/'E Balans VL '!Z10*100)</f>
        <v>0.15309226671528028</v>
      </c>
      <c r="D29" s="237" t="s">
        <v>754</v>
      </c>
      <c r="F29" s="6"/>
    </row>
    <row r="30" spans="1:18">
      <c r="A30" s="231" t="s">
        <v>50</v>
      </c>
      <c r="B30" s="33">
        <f>IF(ISERROR(TER_ander_ele_kWh/1000),0,TER_ander_ele_kWh/1000)</f>
        <v>2535.6909999999998</v>
      </c>
      <c r="C30" s="39">
        <f>IF(ISERROR(B30*3.6/1000000/'E Balans VL '!Z14*100),0,B30*3.6/1000000/'E Balans VL '!Z14*100)</f>
        <v>0.18703311890934557</v>
      </c>
      <c r="D30" s="237" t="s">
        <v>754</v>
      </c>
      <c r="F30" s="6"/>
    </row>
    <row r="31" spans="1:18">
      <c r="A31" s="231" t="s">
        <v>55</v>
      </c>
      <c r="B31" s="33">
        <f>IF(ISERROR(TER_onderwijs_ele_kWh/1000),0,TER_onderwijs_ele_kWh/1000)</f>
        <v>2602.712</v>
      </c>
      <c r="C31" s="39">
        <f>IF(ISERROR(B31*3.6/1000000/'E Balans VL '!Z11*100),0,B31*3.6/1000000/'E Balans VL '!Z11*100)</f>
        <v>0.64637530781009445</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6</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3</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9292.8467999999993</v>
      </c>
      <c r="C5" s="17">
        <f>IF(ISERROR('Eigen informatie GS &amp; warmtenet'!B59),0,'Eigen informatie GS &amp; warmtenet'!B59)</f>
        <v>0</v>
      </c>
      <c r="D5" s="30">
        <f>SUM(D6:D15)</f>
        <v>4373.6304534999999</v>
      </c>
      <c r="E5" s="17">
        <f>SUM(E6:E15)</f>
        <v>1660.4074610062494</v>
      </c>
      <c r="F5" s="17">
        <f>SUM(F6:F15)</f>
        <v>4805.5554324471341</v>
      </c>
      <c r="G5" s="18"/>
      <c r="H5" s="17"/>
      <c r="I5" s="17"/>
      <c r="J5" s="17">
        <f>SUM(J6:J15)</f>
        <v>0</v>
      </c>
      <c r="K5" s="17"/>
      <c r="L5" s="17"/>
      <c r="M5" s="17"/>
      <c r="N5" s="17">
        <f>SUM(N6:N15)</f>
        <v>1970.757503278659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2418.3719999999998</v>
      </c>
      <c r="C8" s="33"/>
      <c r="D8" s="37">
        <f>IF( ISERROR(IND_metaal_Gas_kWH/1000),0,IND_metaal_Gas_kWH/1000)*0.902</f>
        <v>0</v>
      </c>
      <c r="E8" s="33">
        <f>C30*'E Balans VL '!I18/100/3.6*1000000</f>
        <v>22.234594854109954</v>
      </c>
      <c r="F8" s="33">
        <f>C30*'E Balans VL '!L18/100/3.6*1000000+C30*'E Balans VL '!N18/100/3.6*1000000</f>
        <v>226.76277784594618</v>
      </c>
      <c r="G8" s="34"/>
      <c r="H8" s="33"/>
      <c r="I8" s="33"/>
      <c r="J8" s="40">
        <f>C30*'E Balans VL '!D18/100/3.6*1000000+C30*'E Balans VL '!E18/100/3.6*1000000</f>
        <v>0</v>
      </c>
      <c r="K8" s="33"/>
      <c r="L8" s="33"/>
      <c r="M8" s="33"/>
      <c r="N8" s="33">
        <f>C30*'E Balans VL '!Y18/100/3.6*1000000</f>
        <v>34.502073108027979</v>
      </c>
      <c r="O8" s="33"/>
      <c r="P8" s="33"/>
      <c r="R8" s="32"/>
    </row>
    <row r="9" spans="1:18">
      <c r="A9" s="6" t="s">
        <v>33</v>
      </c>
      <c r="B9" s="37">
        <f t="shared" si="0"/>
        <v>5594.6558000000005</v>
      </c>
      <c r="C9" s="33"/>
      <c r="D9" s="37">
        <f>IF( ISERROR(IND_andere_gas_kWh/1000),0,IND_andere_gas_kWh/1000)*0.902</f>
        <v>1842.8421495000002</v>
      </c>
      <c r="E9" s="33">
        <f>C31*'E Balans VL '!I19/100/3.6*1000000</f>
        <v>1635.4268054419638</v>
      </c>
      <c r="F9" s="33">
        <f>C31*'E Balans VL '!L19/100/3.6*1000000+C31*'E Balans VL '!N19/100/3.6*1000000</f>
        <v>4495.7294118325281</v>
      </c>
      <c r="G9" s="34"/>
      <c r="H9" s="33"/>
      <c r="I9" s="33"/>
      <c r="J9" s="40">
        <f>C31*'E Balans VL '!D19/100/3.6*1000000+C31*'E Balans VL '!E19/100/3.6*1000000</f>
        <v>0</v>
      </c>
      <c r="K9" s="33"/>
      <c r="L9" s="33"/>
      <c r="M9" s="33"/>
      <c r="N9" s="33">
        <f>C31*'E Balans VL '!Y19/100/3.6*1000000</f>
        <v>1848.5610432796752</v>
      </c>
      <c r="O9" s="33"/>
      <c r="P9" s="33"/>
      <c r="R9" s="32"/>
    </row>
    <row r="10" spans="1:18">
      <c r="A10" s="6" t="s">
        <v>41</v>
      </c>
      <c r="B10" s="37">
        <f t="shared" si="0"/>
        <v>1234.6600000000001</v>
      </c>
      <c r="C10" s="33"/>
      <c r="D10" s="37">
        <f>IF( ISERROR(IND_voed_gas_kWh/1000),0,IND_voed_gas_kWh/1000)*0.902</f>
        <v>2530.7883040000002</v>
      </c>
      <c r="E10" s="33">
        <f>C32*'E Balans VL '!I20/100/3.6*1000000</f>
        <v>2.6119423736300349</v>
      </c>
      <c r="F10" s="33">
        <f>C32*'E Balans VL '!L20/100/3.6*1000000+C32*'E Balans VL '!N20/100/3.6*1000000</f>
        <v>78.500943968206812</v>
      </c>
      <c r="G10" s="34"/>
      <c r="H10" s="33"/>
      <c r="I10" s="33"/>
      <c r="J10" s="40">
        <f>C32*'E Balans VL '!D20/100/3.6*1000000+C32*'E Balans VL '!E20/100/3.6*1000000</f>
        <v>0</v>
      </c>
      <c r="K10" s="33"/>
      <c r="L10" s="33"/>
      <c r="M10" s="33"/>
      <c r="N10" s="33">
        <f>C32*'E Balans VL '!Y20/100/3.6*1000000</f>
        <v>85.203723922589077</v>
      </c>
      <c r="O10" s="33"/>
      <c r="P10" s="33"/>
      <c r="R10" s="32"/>
    </row>
    <row r="11" spans="1:18">
      <c r="A11" s="6" t="s">
        <v>40</v>
      </c>
      <c r="B11" s="37">
        <f t="shared" si="0"/>
        <v>45.158999999999999</v>
      </c>
      <c r="C11" s="33"/>
      <c r="D11" s="37">
        <f>IF( ISERROR(IND_textiel_gas_kWh/1000),0,IND_textiel_gas_kWh/1000)*0.902</f>
        <v>0</v>
      </c>
      <c r="E11" s="33">
        <f>C33*'E Balans VL '!I21/100/3.6*1000000</f>
        <v>0.13411833654571229</v>
      </c>
      <c r="F11" s="33">
        <f>C33*'E Balans VL '!L21/100/3.6*1000000+C33*'E Balans VL '!N21/100/3.6*1000000</f>
        <v>4.5622988004521225</v>
      </c>
      <c r="G11" s="34"/>
      <c r="H11" s="33"/>
      <c r="I11" s="33"/>
      <c r="J11" s="40">
        <f>C33*'E Balans VL '!D21/100/3.6*1000000+C33*'E Balans VL '!E21/100/3.6*1000000</f>
        <v>0</v>
      </c>
      <c r="K11" s="33"/>
      <c r="L11" s="33"/>
      <c r="M11" s="33"/>
      <c r="N11" s="33">
        <f>C33*'E Balans VL '!Y21/100/3.6*1000000</f>
        <v>2.4906629683666326</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0</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9292.8467999999993</v>
      </c>
      <c r="C18" s="21">
        <f>C5+C16</f>
        <v>0</v>
      </c>
      <c r="D18" s="21">
        <f>MAX((D5+D16),0)</f>
        <v>4373.6304534999999</v>
      </c>
      <c r="E18" s="21">
        <f>MAX((E5+E16),0)</f>
        <v>1660.4074610062494</v>
      </c>
      <c r="F18" s="21">
        <f>MAX((F5+F16),0)</f>
        <v>4805.5554324471341</v>
      </c>
      <c r="G18" s="21"/>
      <c r="H18" s="21"/>
      <c r="I18" s="21"/>
      <c r="J18" s="21">
        <f>MAX((J5+J16),0)</f>
        <v>0</v>
      </c>
      <c r="K18" s="21"/>
      <c r="L18" s="21">
        <f>MAX((L5+L16),0)</f>
        <v>0</v>
      </c>
      <c r="M18" s="21"/>
      <c r="N18" s="21">
        <f>MAX((N5+N16),0)</f>
        <v>1970.757503278659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0.1900919123081847</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1766.4950189989947</v>
      </c>
      <c r="C22" s="23">
        <f ca="1">C18*C20</f>
        <v>0</v>
      </c>
      <c r="D22" s="23">
        <f>D18*D20</f>
        <v>883.47335160700004</v>
      </c>
      <c r="E22" s="23">
        <f>E18*E20</f>
        <v>376.9124936484186</v>
      </c>
      <c r="F22" s="23">
        <f>F18*F20</f>
        <v>1283.0833004633848</v>
      </c>
      <c r="G22" s="23"/>
      <c r="H22" s="23"/>
      <c r="I22" s="23"/>
      <c r="J22" s="23">
        <f>J18*J20</f>
        <v>0</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2418.3719999999998</v>
      </c>
      <c r="C30" s="39">
        <f>IF(ISERROR(B30*3.6/1000000/'E Balans VL '!Z18*100),0,B30*3.6/1000000/'E Balans VL '!Z18*100)</f>
        <v>0.13705534235139066</v>
      </c>
      <c r="D30" s="237" t="s">
        <v>754</v>
      </c>
    </row>
    <row r="31" spans="1:18">
      <c r="A31" s="6" t="s">
        <v>33</v>
      </c>
      <c r="B31" s="37">
        <f>IF( ISERROR(IND_ander_ele_kWh/1000),0,IND_ander_ele_kWh/1000)</f>
        <v>5594.6558000000005</v>
      </c>
      <c r="C31" s="39">
        <f>IF(ISERROR(B31*3.6/1000000/'E Balans VL '!Z19*100),0,B31*3.6/1000000/'E Balans VL '!Z19*100)</f>
        <v>0.25375029134670402</v>
      </c>
      <c r="D31" s="237" t="s">
        <v>754</v>
      </c>
    </row>
    <row r="32" spans="1:18">
      <c r="A32" s="171" t="s">
        <v>41</v>
      </c>
      <c r="B32" s="37">
        <f>IF( ISERROR(IND_voed_ele_kWh/1000),0,IND_voed_ele_kWh/1000)</f>
        <v>1234.6600000000001</v>
      </c>
      <c r="C32" s="39">
        <f>IF(ISERROR(B32*3.6/1000000/'E Balans VL '!Z20*100),0,B32*3.6/1000000/'E Balans VL '!Z20*100)</f>
        <v>3.8193638683148928E-2</v>
      </c>
      <c r="D32" s="237" t="s">
        <v>754</v>
      </c>
    </row>
    <row r="33" spans="1:5">
      <c r="A33" s="171" t="s">
        <v>40</v>
      </c>
      <c r="B33" s="37">
        <f>IF( ISERROR(IND_textiel_ele_kWh/1000),0,IND_textiel_ele_kWh/1000)</f>
        <v>45.158999999999999</v>
      </c>
      <c r="C33" s="39">
        <f>IF(ISERROR(B33*3.6/1000000/'E Balans VL '!Z21*100),0,B33*3.6/1000000/'E Balans VL '!Z21*100)</f>
        <v>5.8882316321547277E-3</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0</v>
      </c>
      <c r="C37" s="39">
        <f>IF(ISERROR(B37*3.6/1000000/'E Balans VL '!Z15*100),0,B37*3.6/1000000/'E Balans VL '!Z15*100)</f>
        <v>0</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709.66700000000003</v>
      </c>
      <c r="C5" s="17">
        <f>'Eigen informatie GS &amp; warmtenet'!B60</f>
        <v>0</v>
      </c>
      <c r="D5" s="30">
        <f>IF(ISERROR(SUM(LB_lb_gas_kWh,LB_rest_gas_kWh,onbekend_gas_kWh)/1000),0,SUM(LB_lb_gas_kWh,LB_rest_gas_kWh,onbekend_gas_kWh)/1000)*0.902</f>
        <v>0</v>
      </c>
      <c r="E5" s="17">
        <f>B17*'E Balans VL '!I25/3.6*1000000/100</f>
        <v>20.859280703202554</v>
      </c>
      <c r="F5" s="17">
        <f>B17*('E Balans VL '!L25/3.6*1000000+'E Balans VL '!N25/3.6*1000000)/100</f>
        <v>2956.4343736081382</v>
      </c>
      <c r="G5" s="18"/>
      <c r="H5" s="17"/>
      <c r="I5" s="17"/>
      <c r="J5" s="17">
        <f>('E Balans VL '!D25+'E Balans VL '!E25)/3.6*1000000*landbouw!B17/100</f>
        <v>102.81550802672133</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709.66700000000003</v>
      </c>
      <c r="C8" s="21">
        <f>C5+C6</f>
        <v>0</v>
      </c>
      <c r="D8" s="21">
        <f>MAX((D5+D6),0)</f>
        <v>0</v>
      </c>
      <c r="E8" s="21">
        <f>MAX((E5+E6),0)</f>
        <v>20.859280703202554</v>
      </c>
      <c r="F8" s="21">
        <f>MAX((F5+F6),0)</f>
        <v>2956.4343736081382</v>
      </c>
      <c r="G8" s="21"/>
      <c r="H8" s="21"/>
      <c r="I8" s="21"/>
      <c r="J8" s="21">
        <f>MAX((J5+J6),0)</f>
        <v>102.81550802672133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0.1900919123081847</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134.90195713201251</v>
      </c>
      <c r="C12" s="23">
        <f ca="1">C8*C10</f>
        <v>0</v>
      </c>
      <c r="D12" s="23">
        <f>D8*D10</f>
        <v>0</v>
      </c>
      <c r="E12" s="23">
        <f>E8*E10</f>
        <v>4.7350567196269795</v>
      </c>
      <c r="F12" s="23">
        <f>F8*F10</f>
        <v>789.367977753373</v>
      </c>
      <c r="G12" s="23"/>
      <c r="H12" s="23"/>
      <c r="I12" s="23"/>
      <c r="J12" s="23">
        <f>J8*J10</f>
        <v>36.396689841459349</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0.10070397381231082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175.80625944829001</v>
      </c>
      <c r="C26" s="247">
        <f>B26*'GWP N2O_CH4'!B5</f>
        <v>3691.93144841409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38.780809804310387</v>
      </c>
      <c r="C27" s="247">
        <f>B27*'GWP N2O_CH4'!B5</f>
        <v>814.39700589051813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2.0403146502628484</v>
      </c>
      <c r="C28" s="247">
        <f>B28*'GWP N2O_CH4'!B4</f>
        <v>632.49754158148301</v>
      </c>
      <c r="D28" s="50"/>
    </row>
    <row r="29" spans="1:4">
      <c r="A29" s="41" t="s">
        <v>277</v>
      </c>
      <c r="B29" s="247">
        <f>B34*'ha_N2O bodem landbouw'!B4</f>
        <v>9.4360004303934186</v>
      </c>
      <c r="C29" s="247">
        <f>B29*'GWP N2O_CH4'!B4</f>
        <v>2925.1601334219599</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2.1532627803116685E-3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3.1502163823898653E-4</v>
      </c>
      <c r="C5" s="463" t="s">
        <v>211</v>
      </c>
      <c r="D5" s="448">
        <f>SUM(D6:D11)</f>
        <v>1.0686721731499199E-3</v>
      </c>
      <c r="E5" s="448">
        <f>SUM(E6:E11)</f>
        <v>1.546799136589633E-3</v>
      </c>
      <c r="F5" s="461" t="s">
        <v>211</v>
      </c>
      <c r="G5" s="448">
        <f>SUM(G6:G11)</f>
        <v>0.56253016658800103</v>
      </c>
      <c r="H5" s="448">
        <f>SUM(H6:H11)</f>
        <v>0.12237019865514856</v>
      </c>
      <c r="I5" s="463" t="s">
        <v>211</v>
      </c>
      <c r="J5" s="463" t="s">
        <v>211</v>
      </c>
      <c r="K5" s="463" t="s">
        <v>211</v>
      </c>
      <c r="L5" s="463" t="s">
        <v>211</v>
      </c>
      <c r="M5" s="448">
        <f>SUM(M6:M11)</f>
        <v>3.6498056685178776E-2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1.6178751897177825E-4</v>
      </c>
      <c r="C6" s="449"/>
      <c r="D6" s="962">
        <f>vkm_2011_GW_PW*SUMIFS(TableVerdeelsleutelVkm[CNG],TableVerdeelsleutelVkm[Voertuigtype],"Lichte voertuigen")*SUMIFS(TableECFTransport[EnergieConsumptieFactor (PJ per km)],TableECFTransport[Index],CONCATENATE($A6,"_CNG_CNG"))</f>
        <v>4.8526969932586282E-4</v>
      </c>
      <c r="E6" s="962">
        <f>vkm_2011_GW_PW*SUMIFS(TableVerdeelsleutelVkm[LPG],TableVerdeelsleutelVkm[Voertuigtype],"Lichte voertuigen")*SUMIFS(TableECFTransport[EnergieConsumptieFactor (PJ per km)],TableECFTransport[Index],CONCATENATE($A6,"_LPG_LPG"))</f>
        <v>6.6294811483618983E-4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0.17140799248271213</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5.5184190773510222E-2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1.1652289860315617E-2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9.6172426702835268E-2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2.930627467634334E-5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5.6199972759123015E-3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4.6744159676006106E-5</v>
      </c>
      <c r="C8" s="449"/>
      <c r="D8" s="451">
        <f>vkm_2011_NGW_PW*SUMIFS(TableVerdeelsleutelVkm[CNG],TableVerdeelsleutelVkm[Voertuigtype],"Lichte voertuigen")*SUMIFS(TableECFTransport[EnergieConsumptieFactor (PJ per km)],TableECFTransport[Index],CONCATENATE($A8,"_CNG_CNG"))</f>
        <v>2.4928721690435065E-4</v>
      </c>
      <c r="E8" s="451">
        <f>vkm_2011_NGW_PW*SUMIFS(TableVerdeelsleutelVkm[LPG],TableVerdeelsleutelVkm[Voertuigtype],"Lichte voertuigen")*SUMIFS(TableECFTransport[EnergieConsumptieFactor (PJ per km)],TableECFTransport[Index],CONCATENATE($A8,"_LPG_LPG"))</f>
        <v>3.1539919267503647E-4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7.5993896074925876E-2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2.7548623514947902E-2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5.2575168917602571E-3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2.8635873094034087E-4</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8.2148742912000831E-8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1.6733701698453253E-5</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1.0648995959120217E-4</v>
      </c>
      <c r="C10" s="449"/>
      <c r="D10" s="451">
        <f>vkm_2011_SW_PW*SUMIFS(TableVerdeelsleutelVkm[CNG],TableVerdeelsleutelVkm[Voertuigtype],"Lichte voertuigen")*SUMIFS(TableECFTransport[EnergieConsumptieFactor (PJ per km)],TableECFTransport[Index],CONCATENATE($A10,"_CNG_CNG"))</f>
        <v>3.3411525691970644E-4</v>
      </c>
      <c r="E10" s="451">
        <f>vkm_2011_SW_PW*SUMIFS(TableVerdeelsleutelVkm[LPG],TableVerdeelsleutelVkm[Voertuigtype],"Lichte voertuigen")*SUMIFS(TableECFTransport[EnergieConsumptieFactor (PJ per km)],TableECFTransport[Index],CONCATENATE($A10,"_LPG_LPG"))</f>
        <v>5.6845182907840671E-4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0.13102943454251037</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3.9579156144571123E-2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8.8300616684847816E-3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8.7640058054076958E-2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2.8839798700072283E-5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5.1214572870073661E-3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87.506010621940703</v>
      </c>
      <c r="C14" s="21"/>
      <c r="D14" s="21">
        <f t="shared" ref="D14:M14" si="0">((D5)*10^9/3600)+D12</f>
        <v>296.85338143053326</v>
      </c>
      <c r="E14" s="21">
        <f t="shared" si="0"/>
        <v>429.66642683045364</v>
      </c>
      <c r="F14" s="21"/>
      <c r="G14" s="21">
        <f t="shared" si="0"/>
        <v>156258.37960777807</v>
      </c>
      <c r="H14" s="21">
        <f t="shared" si="0"/>
        <v>33991.721848652378</v>
      </c>
      <c r="I14" s="21"/>
      <c r="J14" s="21"/>
      <c r="K14" s="21"/>
      <c r="L14" s="21"/>
      <c r="M14" s="21">
        <f t="shared" si="0"/>
        <v>10138.349079216328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0.1900919123081847</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16.63418489758503</v>
      </c>
      <c r="C18" s="23"/>
      <c r="D18" s="23">
        <f t="shared" ref="D18:M18" si="1">D14*D16</f>
        <v>59.964383048967726</v>
      </c>
      <c r="E18" s="23">
        <f t="shared" si="1"/>
        <v>97.534278890512979</v>
      </c>
      <c r="F18" s="23"/>
      <c r="G18" s="23">
        <f t="shared" si="1"/>
        <v>41720.987355276746</v>
      </c>
      <c r="H18" s="23">
        <f t="shared" si="1"/>
        <v>8463.9387403144428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1.2565257256751002E-2</v>
      </c>
      <c r="H50" s="321">
        <f t="shared" si="2"/>
        <v>0</v>
      </c>
      <c r="I50" s="321">
        <f t="shared" si="2"/>
        <v>0</v>
      </c>
      <c r="J50" s="321">
        <f t="shared" si="2"/>
        <v>0</v>
      </c>
      <c r="K50" s="321">
        <f t="shared" si="2"/>
        <v>0</v>
      </c>
      <c r="L50" s="321">
        <f t="shared" si="2"/>
        <v>0</v>
      </c>
      <c r="M50" s="321">
        <f t="shared" si="2"/>
        <v>7.1365114189550526E-4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1.2565257256751002E-2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7.1365114189550526E-4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3490.3492379863897</v>
      </c>
      <c r="H54" s="21">
        <f t="shared" si="3"/>
        <v>0</v>
      </c>
      <c r="I54" s="21">
        <f t="shared" si="3"/>
        <v>0</v>
      </c>
      <c r="J54" s="21">
        <f t="shared" si="3"/>
        <v>0</v>
      </c>
      <c r="K54" s="21">
        <f t="shared" si="3"/>
        <v>0</v>
      </c>
      <c r="L54" s="21">
        <f t="shared" si="3"/>
        <v>0</v>
      </c>
      <c r="M54" s="21">
        <f t="shared" si="3"/>
        <v>198.23642830430703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0.1900919123081847</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931.92324654236609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9339.2877210310853</v>
      </c>
      <c r="C6" s="1204"/>
      <c r="D6" s="1189"/>
      <c r="E6" s="1189"/>
      <c r="F6" s="1207"/>
      <c r="G6" s="1210"/>
      <c r="H6" s="1201"/>
      <c r="I6" s="1189"/>
      <c r="J6" s="1189"/>
      <c r="K6" s="1189"/>
      <c r="L6" s="1193"/>
      <c r="M6" s="575"/>
      <c r="N6" s="1167"/>
      <c r="O6" s="1168"/>
      <c r="Q6" s="573"/>
      <c r="R6" s="1155"/>
      <c r="S6" s="1155"/>
    </row>
    <row r="7" spans="1:19" s="563" customFormat="1">
      <c r="A7" s="576" t="s">
        <v>252</v>
      </c>
      <c r="B7" s="577">
        <f>N57</f>
        <v>225</v>
      </c>
      <c r="C7" s="578">
        <f>B100</f>
        <v>264.70588235294116</v>
      </c>
      <c r="D7" s="579"/>
      <c r="E7" s="579">
        <f>E100</f>
        <v>0</v>
      </c>
      <c r="F7" s="580"/>
      <c r="G7" s="581"/>
      <c r="H7" s="579">
        <f>I100</f>
        <v>0</v>
      </c>
      <c r="I7" s="579">
        <f>G100+F100</f>
        <v>0</v>
      </c>
      <c r="J7" s="579">
        <f>H100+D100+C100</f>
        <v>0</v>
      </c>
      <c r="K7" s="579"/>
      <c r="L7" s="582"/>
      <c r="M7" s="583">
        <f>C7*$C$11+D7*$D$11+E7*$E$11+F7*$F$11+G7*$G$11+H7*$H$11+I7*$I$11+J7*$J$11</f>
        <v>53.470588235294116</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9564.2877210310853</v>
      </c>
      <c r="C9" s="594">
        <f t="shared" ref="C9:L9" si="0">SUM(C7:C8)</f>
        <v>264.70588235294116</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53.470588235294116</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321.42857142857144</v>
      </c>
      <c r="C16" s="610">
        <f>B101</f>
        <v>378.15126050420173</v>
      </c>
      <c r="D16" s="611"/>
      <c r="E16" s="611">
        <f>E101</f>
        <v>0</v>
      </c>
      <c r="F16" s="612"/>
      <c r="G16" s="613"/>
      <c r="H16" s="610">
        <f>I101</f>
        <v>0</v>
      </c>
      <c r="I16" s="611">
        <f>G101+F101</f>
        <v>0</v>
      </c>
      <c r="J16" s="611">
        <f>H101+D101+C101</f>
        <v>0</v>
      </c>
      <c r="K16" s="611"/>
      <c r="L16" s="614"/>
      <c r="M16" s="615">
        <f>C16*$C$21+E16*$E$21+H16*$H$21+I16*$I$21+J16*$J$21+D16*$D$21+F16*$F$21+G16*$G$21+K16*$K$21+L16*$L$21</f>
        <v>76.386554621848759</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321.42857142857144</v>
      </c>
      <c r="C19" s="593">
        <f>SUM(C16:C18)</f>
        <v>378.15126050420173</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76.386554621848759</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71011</v>
      </c>
      <c r="C27" s="851">
        <v>3590</v>
      </c>
      <c r="D27" s="672" t="s">
        <v>809</v>
      </c>
      <c r="E27" s="671" t="s">
        <v>810</v>
      </c>
      <c r="F27" s="671" t="s">
        <v>811</v>
      </c>
      <c r="G27" s="671" t="s">
        <v>812</v>
      </c>
      <c r="H27" s="671" t="s">
        <v>813</v>
      </c>
      <c r="I27" s="671" t="s">
        <v>810</v>
      </c>
      <c r="J27" s="850">
        <v>39736</v>
      </c>
      <c r="K27" s="850">
        <v>39753</v>
      </c>
      <c r="L27" s="671" t="s">
        <v>814</v>
      </c>
      <c r="M27" s="671">
        <v>50</v>
      </c>
      <c r="N27" s="671">
        <v>225</v>
      </c>
      <c r="O27" s="671">
        <v>321.42857142857144</v>
      </c>
      <c r="P27" s="671">
        <v>642.85714285714289</v>
      </c>
      <c r="Q27" s="671">
        <v>0</v>
      </c>
      <c r="R27" s="671">
        <v>0</v>
      </c>
      <c r="S27" s="671">
        <v>0</v>
      </c>
      <c r="T27" s="671">
        <v>0</v>
      </c>
      <c r="U27" s="671">
        <v>0</v>
      </c>
      <c r="V27" s="671">
        <v>0</v>
      </c>
      <c r="W27" s="671">
        <v>0</v>
      </c>
      <c r="X27" s="671">
        <v>1400</v>
      </c>
      <c r="Y27" s="671" t="s">
        <v>55</v>
      </c>
      <c r="Z27" s="673" t="s">
        <v>156</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50</v>
      </c>
      <c r="N57" s="629">
        <f>SUM(N27:N56)</f>
        <v>225</v>
      </c>
      <c r="O57" s="629">
        <f t="shared" ref="O57:W57" si="2">SUM(O27:O56)</f>
        <v>321.42857142857144</v>
      </c>
      <c r="P57" s="629">
        <f t="shared" si="2"/>
        <v>642.85714285714289</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50</v>
      </c>
      <c r="N59" s="629">
        <f ca="1">SUMIF($Z$27:AB56,"tertiair",N27:N56)</f>
        <v>225</v>
      </c>
      <c r="O59" s="629">
        <f ca="1">SUMIF($Z$27:AC56,"tertiair",O27:O56)</f>
        <v>321.42857142857144</v>
      </c>
      <c r="P59" s="629">
        <f ca="1">SUMIF($Z$27:AD56,"tertiair",P27:P56)</f>
        <v>642.85714285714289</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264.70588235294116</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378.15126050420173</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22860.404349999997</v>
      </c>
      <c r="D10" s="718">
        <f ca="1">tertiair!C16</f>
        <v>321.42857142857144</v>
      </c>
      <c r="E10" s="718">
        <f ca="1">tertiair!D16</f>
        <v>26141.036147142859</v>
      </c>
      <c r="F10" s="718">
        <f>tertiair!E16</f>
        <v>260.03291346055346</v>
      </c>
      <c r="G10" s="718">
        <f ca="1">tertiair!F16</f>
        <v>3836.0491137224099</v>
      </c>
      <c r="H10" s="718">
        <f>tertiair!G16</f>
        <v>0</v>
      </c>
      <c r="I10" s="718">
        <f>tertiair!H16</f>
        <v>0</v>
      </c>
      <c r="J10" s="718">
        <f>tertiair!I16</f>
        <v>0</v>
      </c>
      <c r="K10" s="718">
        <f>tertiair!J16</f>
        <v>5.5039911975732769E-2</v>
      </c>
      <c r="L10" s="718">
        <f>tertiair!K16</f>
        <v>0</v>
      </c>
      <c r="M10" s="718">
        <f ca="1">tertiair!L16</f>
        <v>0</v>
      </c>
      <c r="N10" s="718">
        <f>tertiair!M16</f>
        <v>0</v>
      </c>
      <c r="O10" s="718">
        <f ca="1">tertiair!N16</f>
        <v>2199.1522459240628</v>
      </c>
      <c r="P10" s="718">
        <f>tertiair!O16</f>
        <v>9.3800000000000008</v>
      </c>
      <c r="Q10" s="719">
        <f>tertiair!P16</f>
        <v>57.2</v>
      </c>
      <c r="R10" s="721">
        <f ca="1">SUM(C10:Q10)</f>
        <v>55684.738381590425</v>
      </c>
      <c r="S10" s="67"/>
    </row>
    <row r="11" spans="1:19" s="474" customFormat="1">
      <c r="A11" s="870" t="s">
        <v>225</v>
      </c>
      <c r="B11" s="875"/>
      <c r="C11" s="718">
        <f>huishoudens!B8</f>
        <v>33706.465733544617</v>
      </c>
      <c r="D11" s="718">
        <f>huishoudens!C8</f>
        <v>0</v>
      </c>
      <c r="E11" s="718">
        <f>huishoudens!D8</f>
        <v>54367.932785100005</v>
      </c>
      <c r="F11" s="718">
        <f>huishoudens!E8</f>
        <v>2697.9841590502947</v>
      </c>
      <c r="G11" s="718">
        <f>huishoudens!F8</f>
        <v>49511.348201856781</v>
      </c>
      <c r="H11" s="718">
        <f>huishoudens!G8</f>
        <v>0</v>
      </c>
      <c r="I11" s="718">
        <f>huishoudens!H8</f>
        <v>0</v>
      </c>
      <c r="J11" s="718">
        <f>huishoudens!I8</f>
        <v>0</v>
      </c>
      <c r="K11" s="718">
        <f>huishoudens!J8</f>
        <v>0</v>
      </c>
      <c r="L11" s="718">
        <f>huishoudens!K8</f>
        <v>0</v>
      </c>
      <c r="M11" s="718">
        <f>huishoudens!L8</f>
        <v>0</v>
      </c>
      <c r="N11" s="718">
        <f>huishoudens!M8</f>
        <v>0</v>
      </c>
      <c r="O11" s="718">
        <f>huishoudens!N8</f>
        <v>21541.595744796301</v>
      </c>
      <c r="P11" s="718">
        <f>huishoudens!O8</f>
        <v>469</v>
      </c>
      <c r="Q11" s="719">
        <f>huishoudens!P8</f>
        <v>2478.6666666666665</v>
      </c>
      <c r="R11" s="721">
        <f>SUM(C11:Q11)</f>
        <v>164772.99329101466</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9292.8467999999993</v>
      </c>
      <c r="D13" s="718">
        <f>industrie!C18</f>
        <v>0</v>
      </c>
      <c r="E13" s="718">
        <f>industrie!D18</f>
        <v>4373.6304534999999</v>
      </c>
      <c r="F13" s="718">
        <f>industrie!E18</f>
        <v>1660.4074610062494</v>
      </c>
      <c r="G13" s="718">
        <f>industrie!F18</f>
        <v>4805.5554324471341</v>
      </c>
      <c r="H13" s="718">
        <f>industrie!G18</f>
        <v>0</v>
      </c>
      <c r="I13" s="718">
        <f>industrie!H18</f>
        <v>0</v>
      </c>
      <c r="J13" s="718">
        <f>industrie!I18</f>
        <v>0</v>
      </c>
      <c r="K13" s="718">
        <f>industrie!J18</f>
        <v>0</v>
      </c>
      <c r="L13" s="718">
        <f>industrie!K18</f>
        <v>0</v>
      </c>
      <c r="M13" s="718">
        <f>industrie!L18</f>
        <v>0</v>
      </c>
      <c r="N13" s="718">
        <f>industrie!M18</f>
        <v>0</v>
      </c>
      <c r="O13" s="718">
        <f>industrie!N18</f>
        <v>1970.757503278659</v>
      </c>
      <c r="P13" s="718">
        <f>industrie!O18</f>
        <v>0</v>
      </c>
      <c r="Q13" s="719">
        <f>industrie!P18</f>
        <v>0</v>
      </c>
      <c r="R13" s="721">
        <f>SUM(C13:Q13)</f>
        <v>22103.197650232043</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65859.716883544606</v>
      </c>
      <c r="D15" s="723">
        <f t="shared" ref="D15:Q15" ca="1" si="0">SUM(D9:D14)</f>
        <v>321.42857142857144</v>
      </c>
      <c r="E15" s="723">
        <f t="shared" ca="1" si="0"/>
        <v>84882.599385742855</v>
      </c>
      <c r="F15" s="723">
        <f t="shared" si="0"/>
        <v>4618.4245335170981</v>
      </c>
      <c r="G15" s="723">
        <f t="shared" ca="1" si="0"/>
        <v>58152.95274802632</v>
      </c>
      <c r="H15" s="723">
        <f t="shared" si="0"/>
        <v>0</v>
      </c>
      <c r="I15" s="723">
        <f t="shared" si="0"/>
        <v>0</v>
      </c>
      <c r="J15" s="723">
        <f t="shared" si="0"/>
        <v>0</v>
      </c>
      <c r="K15" s="723">
        <f t="shared" si="0"/>
        <v>5.5039911975732769E-2</v>
      </c>
      <c r="L15" s="723">
        <f t="shared" si="0"/>
        <v>0</v>
      </c>
      <c r="M15" s="723">
        <f t="shared" ca="1" si="0"/>
        <v>0</v>
      </c>
      <c r="N15" s="723">
        <f t="shared" si="0"/>
        <v>0</v>
      </c>
      <c r="O15" s="723">
        <f t="shared" ca="1" si="0"/>
        <v>25711.505493999022</v>
      </c>
      <c r="P15" s="723">
        <f t="shared" si="0"/>
        <v>478.38</v>
      </c>
      <c r="Q15" s="724">
        <f t="shared" si="0"/>
        <v>2535.8666666666663</v>
      </c>
      <c r="R15" s="725">
        <f ca="1">SUM(R9:R14)</f>
        <v>242560.92932283712</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3490.3492379863897</v>
      </c>
      <c r="I18" s="718">
        <f>transport!H54</f>
        <v>0</v>
      </c>
      <c r="J18" s="718">
        <f>transport!I54</f>
        <v>0</v>
      </c>
      <c r="K18" s="718">
        <f>transport!J54</f>
        <v>0</v>
      </c>
      <c r="L18" s="718">
        <f>transport!K54</f>
        <v>0</v>
      </c>
      <c r="M18" s="718">
        <f>transport!L54</f>
        <v>0</v>
      </c>
      <c r="N18" s="718">
        <f>transport!M54</f>
        <v>198.23642830430703</v>
      </c>
      <c r="O18" s="718">
        <f>transport!N54</f>
        <v>0</v>
      </c>
      <c r="P18" s="718">
        <f>transport!O54</f>
        <v>0</v>
      </c>
      <c r="Q18" s="719">
        <f>transport!P54</f>
        <v>0</v>
      </c>
      <c r="R18" s="721">
        <f>SUM(C18:Q18)</f>
        <v>3688.5856662906967</v>
      </c>
      <c r="S18" s="67"/>
    </row>
    <row r="19" spans="1:19" s="474" customFormat="1" ht="15" thickBot="1">
      <c r="A19" s="870" t="s">
        <v>307</v>
      </c>
      <c r="B19" s="875"/>
      <c r="C19" s="727">
        <f>transport!B14</f>
        <v>87.506010621940703</v>
      </c>
      <c r="D19" s="727">
        <f>transport!C14</f>
        <v>0</v>
      </c>
      <c r="E19" s="727">
        <f>transport!D14</f>
        <v>296.85338143053326</v>
      </c>
      <c r="F19" s="727">
        <f>transport!E14</f>
        <v>429.66642683045364</v>
      </c>
      <c r="G19" s="727">
        <f>transport!F14</f>
        <v>0</v>
      </c>
      <c r="H19" s="727">
        <f>transport!G14</f>
        <v>156258.37960777807</v>
      </c>
      <c r="I19" s="727">
        <f>transport!H14</f>
        <v>33991.721848652378</v>
      </c>
      <c r="J19" s="727">
        <f>transport!I14</f>
        <v>0</v>
      </c>
      <c r="K19" s="727">
        <f>transport!J14</f>
        <v>0</v>
      </c>
      <c r="L19" s="727">
        <f>transport!K14</f>
        <v>0</v>
      </c>
      <c r="M19" s="727">
        <f>transport!L14</f>
        <v>0</v>
      </c>
      <c r="N19" s="727">
        <f>transport!M14</f>
        <v>10138.349079216328</v>
      </c>
      <c r="O19" s="727">
        <f>transport!N14</f>
        <v>0</v>
      </c>
      <c r="P19" s="727">
        <f>transport!O14</f>
        <v>0</v>
      </c>
      <c r="Q19" s="728">
        <f>transport!P14</f>
        <v>0</v>
      </c>
      <c r="R19" s="729">
        <f>SUM(C19:Q19)</f>
        <v>201202.4763545297</v>
      </c>
      <c r="S19" s="67"/>
    </row>
    <row r="20" spans="1:19" s="474" customFormat="1" ht="15.75" thickBot="1">
      <c r="A20" s="730" t="s">
        <v>230</v>
      </c>
      <c r="B20" s="878"/>
      <c r="C20" s="873">
        <f>SUM(C17:C19)</f>
        <v>87.506010621940703</v>
      </c>
      <c r="D20" s="731">
        <f t="shared" ref="D20:R20" si="1">SUM(D17:D19)</f>
        <v>0</v>
      </c>
      <c r="E20" s="731">
        <f t="shared" si="1"/>
        <v>296.85338143053326</v>
      </c>
      <c r="F20" s="731">
        <f t="shared" si="1"/>
        <v>429.66642683045364</v>
      </c>
      <c r="G20" s="731">
        <f t="shared" si="1"/>
        <v>0</v>
      </c>
      <c r="H20" s="731">
        <f t="shared" si="1"/>
        <v>159748.72884576448</v>
      </c>
      <c r="I20" s="731">
        <f t="shared" si="1"/>
        <v>33991.721848652378</v>
      </c>
      <c r="J20" s="731">
        <f t="shared" si="1"/>
        <v>0</v>
      </c>
      <c r="K20" s="731">
        <f t="shared" si="1"/>
        <v>0</v>
      </c>
      <c r="L20" s="731">
        <f t="shared" si="1"/>
        <v>0</v>
      </c>
      <c r="M20" s="731">
        <f t="shared" si="1"/>
        <v>0</v>
      </c>
      <c r="N20" s="731">
        <f t="shared" si="1"/>
        <v>10336.585507520635</v>
      </c>
      <c r="O20" s="731">
        <f t="shared" si="1"/>
        <v>0</v>
      </c>
      <c r="P20" s="731">
        <f t="shared" si="1"/>
        <v>0</v>
      </c>
      <c r="Q20" s="732">
        <f t="shared" si="1"/>
        <v>0</v>
      </c>
      <c r="R20" s="733">
        <f t="shared" si="1"/>
        <v>204891.06202082039</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709.66700000000003</v>
      </c>
      <c r="D22" s="727">
        <f>+landbouw!C8</f>
        <v>0</v>
      </c>
      <c r="E22" s="727">
        <f>+landbouw!D8</f>
        <v>0</v>
      </c>
      <c r="F22" s="727">
        <f>+landbouw!E8</f>
        <v>20.859280703202554</v>
      </c>
      <c r="G22" s="727">
        <f>+landbouw!F8</f>
        <v>2956.4343736081382</v>
      </c>
      <c r="H22" s="727">
        <f>+landbouw!G8</f>
        <v>0</v>
      </c>
      <c r="I22" s="727">
        <f>+landbouw!H8</f>
        <v>0</v>
      </c>
      <c r="J22" s="727">
        <f>+landbouw!I8</f>
        <v>0</v>
      </c>
      <c r="K22" s="727">
        <f>+landbouw!J8</f>
        <v>102.81550802672133</v>
      </c>
      <c r="L22" s="727">
        <f>+landbouw!K8</f>
        <v>0</v>
      </c>
      <c r="M22" s="727">
        <f>+landbouw!L8</f>
        <v>0</v>
      </c>
      <c r="N22" s="727">
        <f>+landbouw!M8</f>
        <v>0</v>
      </c>
      <c r="O22" s="727">
        <f>+landbouw!N8</f>
        <v>0</v>
      </c>
      <c r="P22" s="727">
        <f>+landbouw!O8</f>
        <v>0</v>
      </c>
      <c r="Q22" s="728">
        <f>+landbouw!P8</f>
        <v>0</v>
      </c>
      <c r="R22" s="729">
        <f>SUM(C22:Q22)</f>
        <v>3789.7761623380625</v>
      </c>
      <c r="S22" s="67"/>
    </row>
    <row r="23" spans="1:19" s="474" customFormat="1" ht="17.25" thickTop="1" thickBot="1">
      <c r="A23" s="734" t="s">
        <v>116</v>
      </c>
      <c r="B23" s="864"/>
      <c r="C23" s="735">
        <f ca="1">C20+C15+C22</f>
        <v>66656.889894166554</v>
      </c>
      <c r="D23" s="735">
        <f t="shared" ref="D23:Q23" ca="1" si="2">D20+D15+D22</f>
        <v>321.42857142857144</v>
      </c>
      <c r="E23" s="735">
        <f t="shared" ca="1" si="2"/>
        <v>85179.452767173381</v>
      </c>
      <c r="F23" s="735">
        <f t="shared" si="2"/>
        <v>5068.9502410507548</v>
      </c>
      <c r="G23" s="735">
        <f t="shared" ca="1" si="2"/>
        <v>61109.387121634456</v>
      </c>
      <c r="H23" s="735">
        <f t="shared" si="2"/>
        <v>159748.72884576448</v>
      </c>
      <c r="I23" s="735">
        <f t="shared" si="2"/>
        <v>33991.721848652378</v>
      </c>
      <c r="J23" s="735">
        <f t="shared" si="2"/>
        <v>0</v>
      </c>
      <c r="K23" s="735">
        <f t="shared" si="2"/>
        <v>102.87054793869706</v>
      </c>
      <c r="L23" s="735">
        <f t="shared" si="2"/>
        <v>0</v>
      </c>
      <c r="M23" s="735">
        <f t="shared" ca="1" si="2"/>
        <v>0</v>
      </c>
      <c r="N23" s="735">
        <f t="shared" si="2"/>
        <v>10336.585507520635</v>
      </c>
      <c r="O23" s="735">
        <f t="shared" ca="1" si="2"/>
        <v>25711.505493999022</v>
      </c>
      <c r="P23" s="735">
        <f t="shared" si="2"/>
        <v>478.38</v>
      </c>
      <c r="Q23" s="736">
        <f t="shared" si="2"/>
        <v>2535.8666666666663</v>
      </c>
      <c r="R23" s="737">
        <f ca="1">R20+R15+R22</f>
        <v>451241.76750599552</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4345.5779790298438</v>
      </c>
      <c r="D36" s="718">
        <f ca="1">tertiair!C20</f>
        <v>76.386554621848759</v>
      </c>
      <c r="E36" s="718">
        <f ca="1">tertiair!D20</f>
        <v>5280.4893017228578</v>
      </c>
      <c r="F36" s="718">
        <f>tertiair!E20</f>
        <v>59.027471355545636</v>
      </c>
      <c r="G36" s="718">
        <f ca="1">tertiair!F20</f>
        <v>1024.2251133638836</v>
      </c>
      <c r="H36" s="718">
        <f>tertiair!G20</f>
        <v>0</v>
      </c>
      <c r="I36" s="718">
        <f>tertiair!H20</f>
        <v>0</v>
      </c>
      <c r="J36" s="718">
        <f>tertiair!I20</f>
        <v>0</v>
      </c>
      <c r="K36" s="718">
        <f>tertiair!J20</f>
        <v>1.9484128839409399E-2</v>
      </c>
      <c r="L36" s="718">
        <f>tertiair!K20</f>
        <v>0</v>
      </c>
      <c r="M36" s="718">
        <f ca="1">tertiair!L20</f>
        <v>0</v>
      </c>
      <c r="N36" s="718">
        <f>tertiair!M20</f>
        <v>0</v>
      </c>
      <c r="O36" s="718">
        <f ca="1">tertiair!N20</f>
        <v>0</v>
      </c>
      <c r="P36" s="718">
        <f>tertiair!O20</f>
        <v>0</v>
      </c>
      <c r="Q36" s="828">
        <f>tertiair!P20</f>
        <v>0</v>
      </c>
      <c r="R36" s="917">
        <f ca="1">SUM(C36:Q36)</f>
        <v>10785.72590422282</v>
      </c>
    </row>
    <row r="37" spans="1:18">
      <c r="A37" s="885" t="s">
        <v>225</v>
      </c>
      <c r="B37" s="892"/>
      <c r="C37" s="718">
        <f ca="1">huishoudens!B12</f>
        <v>6407.3265284397958</v>
      </c>
      <c r="D37" s="718">
        <f ca="1">huishoudens!C12</f>
        <v>0</v>
      </c>
      <c r="E37" s="718">
        <f>huishoudens!D12</f>
        <v>10982.322422590201</v>
      </c>
      <c r="F37" s="718">
        <f>huishoudens!E12</f>
        <v>612.44240410441694</v>
      </c>
      <c r="G37" s="718">
        <f>huishoudens!F12</f>
        <v>13219.529969895761</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31221.621325030177</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1766.4950189989947</v>
      </c>
      <c r="D39" s="718">
        <f ca="1">industrie!C22</f>
        <v>0</v>
      </c>
      <c r="E39" s="718">
        <f>industrie!D22</f>
        <v>883.47335160700004</v>
      </c>
      <c r="F39" s="718">
        <f>industrie!E22</f>
        <v>376.9124936484186</v>
      </c>
      <c r="G39" s="718">
        <f>industrie!F22</f>
        <v>1283.0833004633848</v>
      </c>
      <c r="H39" s="718">
        <f>industrie!G22</f>
        <v>0</v>
      </c>
      <c r="I39" s="718">
        <f>industrie!H22</f>
        <v>0</v>
      </c>
      <c r="J39" s="718">
        <f>industrie!I22</f>
        <v>0</v>
      </c>
      <c r="K39" s="718">
        <f>industrie!J22</f>
        <v>0</v>
      </c>
      <c r="L39" s="718">
        <f>industrie!K22</f>
        <v>0</v>
      </c>
      <c r="M39" s="718">
        <f>industrie!L22</f>
        <v>0</v>
      </c>
      <c r="N39" s="718">
        <f>industrie!M22</f>
        <v>0</v>
      </c>
      <c r="O39" s="718">
        <f>industrie!N22</f>
        <v>0</v>
      </c>
      <c r="P39" s="718">
        <f>industrie!O22</f>
        <v>0</v>
      </c>
      <c r="Q39" s="828">
        <f>industrie!P22</f>
        <v>0</v>
      </c>
      <c r="R39" s="918">
        <f ca="1">SUM(C39:Q39)</f>
        <v>4309.9641647177987</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12519.399526468635</v>
      </c>
      <c r="D41" s="763">
        <f t="shared" ref="D41:R41" ca="1" si="4">SUM(D35:D40)</f>
        <v>76.386554621848759</v>
      </c>
      <c r="E41" s="763">
        <f t="shared" ca="1" si="4"/>
        <v>17146.285075920059</v>
      </c>
      <c r="F41" s="763">
        <f t="shared" si="4"/>
        <v>1048.3823691083812</v>
      </c>
      <c r="G41" s="763">
        <f t="shared" ca="1" si="4"/>
        <v>15526.838383723029</v>
      </c>
      <c r="H41" s="763">
        <f t="shared" si="4"/>
        <v>0</v>
      </c>
      <c r="I41" s="763">
        <f t="shared" si="4"/>
        <v>0</v>
      </c>
      <c r="J41" s="763">
        <f t="shared" si="4"/>
        <v>0</v>
      </c>
      <c r="K41" s="763">
        <f t="shared" si="4"/>
        <v>1.9484128839409399E-2</v>
      </c>
      <c r="L41" s="763">
        <f t="shared" si="4"/>
        <v>0</v>
      </c>
      <c r="M41" s="763">
        <f t="shared" ca="1" si="4"/>
        <v>0</v>
      </c>
      <c r="N41" s="763">
        <f t="shared" si="4"/>
        <v>0</v>
      </c>
      <c r="O41" s="763">
        <f t="shared" ca="1" si="4"/>
        <v>0</v>
      </c>
      <c r="P41" s="763">
        <f t="shared" si="4"/>
        <v>0</v>
      </c>
      <c r="Q41" s="764">
        <f t="shared" si="4"/>
        <v>0</v>
      </c>
      <c r="R41" s="765">
        <f t="shared" ca="1" si="4"/>
        <v>46317.311393970798</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931.92324654236609</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931.92324654236609</v>
      </c>
    </row>
    <row r="45" spans="1:18" ht="15" thickBot="1">
      <c r="A45" s="888" t="s">
        <v>307</v>
      </c>
      <c r="B45" s="898"/>
      <c r="C45" s="727">
        <f ca="1">transport!B18</f>
        <v>16.63418489758503</v>
      </c>
      <c r="D45" s="727">
        <f>transport!C18</f>
        <v>0</v>
      </c>
      <c r="E45" s="727">
        <f>transport!D18</f>
        <v>59.964383048967726</v>
      </c>
      <c r="F45" s="727">
        <f>transport!E18</f>
        <v>97.534278890512979</v>
      </c>
      <c r="G45" s="727">
        <f>transport!F18</f>
        <v>0</v>
      </c>
      <c r="H45" s="727">
        <f>transport!G18</f>
        <v>41720.987355276746</v>
      </c>
      <c r="I45" s="727">
        <f>transport!H18</f>
        <v>8463.9387403144428</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50359.058942428252</v>
      </c>
    </row>
    <row r="46" spans="1:18" ht="15.75" thickBot="1">
      <c r="A46" s="886" t="s">
        <v>230</v>
      </c>
      <c r="B46" s="899"/>
      <c r="C46" s="763">
        <f t="shared" ref="C46:R46" ca="1" si="5">SUM(C43:C45)</f>
        <v>16.63418489758503</v>
      </c>
      <c r="D46" s="763">
        <f t="shared" ca="1" si="5"/>
        <v>0</v>
      </c>
      <c r="E46" s="763">
        <f t="shared" si="5"/>
        <v>59.964383048967726</v>
      </c>
      <c r="F46" s="763">
        <f t="shared" si="5"/>
        <v>97.534278890512979</v>
      </c>
      <c r="G46" s="763">
        <f t="shared" si="5"/>
        <v>0</v>
      </c>
      <c r="H46" s="763">
        <f t="shared" si="5"/>
        <v>42652.910601819109</v>
      </c>
      <c r="I46" s="763">
        <f t="shared" si="5"/>
        <v>8463.9387403144428</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51290.982188970615</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134.90195713201251</v>
      </c>
      <c r="D48" s="718">
        <f ca="1">+landbouw!C12</f>
        <v>0</v>
      </c>
      <c r="E48" s="718">
        <f>+landbouw!D12</f>
        <v>0</v>
      </c>
      <c r="F48" s="718">
        <f>+landbouw!E12</f>
        <v>4.7350567196269795</v>
      </c>
      <c r="G48" s="718">
        <f>+landbouw!F12</f>
        <v>789.367977753373</v>
      </c>
      <c r="H48" s="718">
        <f>+landbouw!G12</f>
        <v>0</v>
      </c>
      <c r="I48" s="718">
        <f>+landbouw!H12</f>
        <v>0</v>
      </c>
      <c r="J48" s="718">
        <f>+landbouw!I12</f>
        <v>0</v>
      </c>
      <c r="K48" s="718">
        <f>+landbouw!J12</f>
        <v>36.396689841459349</v>
      </c>
      <c r="L48" s="718">
        <f>+landbouw!K12</f>
        <v>0</v>
      </c>
      <c r="M48" s="718">
        <f>+landbouw!L12</f>
        <v>0</v>
      </c>
      <c r="N48" s="718">
        <f>+landbouw!M12</f>
        <v>0</v>
      </c>
      <c r="O48" s="718">
        <f>+landbouw!N12</f>
        <v>0</v>
      </c>
      <c r="P48" s="718">
        <f>+landbouw!O12</f>
        <v>0</v>
      </c>
      <c r="Q48" s="719">
        <f>+landbouw!P12</f>
        <v>0</v>
      </c>
      <c r="R48" s="761">
        <f ca="1">SUM(C48:Q48)</f>
        <v>965.4016814464718</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12670.935668498232</v>
      </c>
      <c r="D53" s="773">
        <f t="shared" ref="D53:Q53" ca="1" si="6">D41+D46+D48</f>
        <v>76.386554621848759</v>
      </c>
      <c r="E53" s="773">
        <f t="shared" ca="1" si="6"/>
        <v>17206.249458969029</v>
      </c>
      <c r="F53" s="773">
        <f t="shared" si="6"/>
        <v>1150.6517047185212</v>
      </c>
      <c r="G53" s="773">
        <f t="shared" ca="1" si="6"/>
        <v>16316.206361476401</v>
      </c>
      <c r="H53" s="773">
        <f t="shared" si="6"/>
        <v>42652.910601819109</v>
      </c>
      <c r="I53" s="773">
        <f t="shared" si="6"/>
        <v>8463.9387403144428</v>
      </c>
      <c r="J53" s="773">
        <f t="shared" si="6"/>
        <v>0</v>
      </c>
      <c r="K53" s="773">
        <f t="shared" si="6"/>
        <v>36.416173970298757</v>
      </c>
      <c r="L53" s="773">
        <f t="shared" si="6"/>
        <v>0</v>
      </c>
      <c r="M53" s="773">
        <f t="shared" ca="1" si="6"/>
        <v>0</v>
      </c>
      <c r="N53" s="773">
        <f t="shared" si="6"/>
        <v>0</v>
      </c>
      <c r="O53" s="773">
        <f t="shared" ca="1" si="6"/>
        <v>0</v>
      </c>
      <c r="P53" s="773">
        <f>P41+P46+P48</f>
        <v>0</v>
      </c>
      <c r="Q53" s="774">
        <f t="shared" si="6"/>
        <v>0</v>
      </c>
      <c r="R53" s="775">
        <f ca="1">R41+R46+R48</f>
        <v>98573.695264387876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0.1900919123081847</v>
      </c>
      <c r="D55" s="836">
        <f t="shared" ca="1" si="7"/>
        <v>0.23764705882352946</v>
      </c>
      <c r="E55" s="836">
        <f t="shared" ca="1" si="7"/>
        <v>0.20200000000000007</v>
      </c>
      <c r="F55" s="836">
        <f t="shared" si="7"/>
        <v>0.22699999999999995</v>
      </c>
      <c r="G55" s="836">
        <f t="shared" ca="1" si="7"/>
        <v>0.26700000000000002</v>
      </c>
      <c r="H55" s="836">
        <f t="shared" si="7"/>
        <v>0.26699999999999996</v>
      </c>
      <c r="I55" s="836">
        <f t="shared" si="7"/>
        <v>0.24900000000000003</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9339.2877210310853</v>
      </c>
      <c r="C66" s="795">
        <f>'lokale energieproductie'!B6</f>
        <v>9339.2877210310853</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225</v>
      </c>
      <c r="C67" s="794">
        <f>B67*IFERROR(SUM(J67:L67)/SUM(D67:M67),0)</f>
        <v>0</v>
      </c>
      <c r="D67" s="826">
        <f>'lokale energieproductie'!C7</f>
        <v>264.70588235294116</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53.470588235294116</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9564.2877210310853</v>
      </c>
      <c r="C69" s="803">
        <f>SUM(C64:C68)</f>
        <v>9339.2877210310853</v>
      </c>
      <c r="D69" s="804">
        <f t="shared" ref="D69:M69" si="8">SUM(D67:D68)</f>
        <v>264.70588235294116</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53.470588235294116</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321.42857142857144</v>
      </c>
      <c r="C78" s="817">
        <f>B78*IFERROR(SUM(I78:L78)/SUM(D78:M78),0)</f>
        <v>0</v>
      </c>
      <c r="D78" s="832">
        <f>'lokale energieproductie'!C16</f>
        <v>378.15126050420173</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76.386554621848759</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321.42857142857144</v>
      </c>
      <c r="C81" s="803">
        <f>SUM(C78:C80)</f>
        <v>0</v>
      </c>
      <c r="D81" s="803">
        <f t="shared" ref="D81:P81" si="9">SUM(D78:D80)</f>
        <v>378.15126050420173</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76.386554621848759</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33706.465733544617</v>
      </c>
      <c r="C4" s="478">
        <f>huishoudens!C8</f>
        <v>0</v>
      </c>
      <c r="D4" s="478">
        <f>huishoudens!D8</f>
        <v>54367.932785100005</v>
      </c>
      <c r="E4" s="478">
        <f>huishoudens!E8</f>
        <v>2697.9841590502947</v>
      </c>
      <c r="F4" s="478">
        <f>huishoudens!F8</f>
        <v>49511.348201856781</v>
      </c>
      <c r="G4" s="478">
        <f>huishoudens!G8</f>
        <v>0</v>
      </c>
      <c r="H4" s="478">
        <f>huishoudens!H8</f>
        <v>0</v>
      </c>
      <c r="I4" s="478">
        <f>huishoudens!I8</f>
        <v>0</v>
      </c>
      <c r="J4" s="478">
        <f>huishoudens!J8</f>
        <v>0</v>
      </c>
      <c r="K4" s="478">
        <f>huishoudens!K8</f>
        <v>0</v>
      </c>
      <c r="L4" s="478">
        <f>huishoudens!L8</f>
        <v>0</v>
      </c>
      <c r="M4" s="478">
        <f>huishoudens!M8</f>
        <v>0</v>
      </c>
      <c r="N4" s="478">
        <f>huishoudens!N8</f>
        <v>21541.595744796301</v>
      </c>
      <c r="O4" s="478">
        <f>huishoudens!O8</f>
        <v>469</v>
      </c>
      <c r="P4" s="479">
        <f>huishoudens!P8</f>
        <v>2478.6666666666665</v>
      </c>
      <c r="Q4" s="480">
        <f>SUM(B4:P4)</f>
        <v>164772.99329101466</v>
      </c>
    </row>
    <row r="5" spans="1:17">
      <c r="A5" s="477" t="s">
        <v>156</v>
      </c>
      <c r="B5" s="478">
        <f ca="1">tertiair!B16</f>
        <v>22125.174349999998</v>
      </c>
      <c r="C5" s="478">
        <f ca="1">tertiair!C16</f>
        <v>321.42857142857144</v>
      </c>
      <c r="D5" s="478">
        <f ca="1">tertiair!D16</f>
        <v>26141.036147142859</v>
      </c>
      <c r="E5" s="478">
        <f>tertiair!E16</f>
        <v>260.03291346055346</v>
      </c>
      <c r="F5" s="478">
        <f ca="1">tertiair!F16</f>
        <v>3836.0491137224099</v>
      </c>
      <c r="G5" s="478">
        <f>tertiair!G16</f>
        <v>0</v>
      </c>
      <c r="H5" s="478">
        <f>tertiair!H16</f>
        <v>0</v>
      </c>
      <c r="I5" s="478">
        <f>tertiair!I16</f>
        <v>0</v>
      </c>
      <c r="J5" s="478">
        <f>tertiair!J16</f>
        <v>5.5039911975732769E-2</v>
      </c>
      <c r="K5" s="478">
        <f>tertiair!K16</f>
        <v>0</v>
      </c>
      <c r="L5" s="478">
        <f ca="1">tertiair!L16</f>
        <v>0</v>
      </c>
      <c r="M5" s="478">
        <f>tertiair!M16</f>
        <v>0</v>
      </c>
      <c r="N5" s="478">
        <f ca="1">tertiair!N16</f>
        <v>2199.1522459240628</v>
      </c>
      <c r="O5" s="478">
        <f>tertiair!O16</f>
        <v>9.3800000000000008</v>
      </c>
      <c r="P5" s="479">
        <f>tertiair!P16</f>
        <v>57.2</v>
      </c>
      <c r="Q5" s="477">
        <f t="shared" ref="Q5:Q13" ca="1" si="0">SUM(B5:P5)</f>
        <v>54949.508381590429</v>
      </c>
    </row>
    <row r="6" spans="1:17">
      <c r="A6" s="477" t="s">
        <v>194</v>
      </c>
      <c r="B6" s="478">
        <f>'openbare verlichting'!B8</f>
        <v>735.23</v>
      </c>
      <c r="C6" s="478"/>
      <c r="D6" s="478"/>
      <c r="E6" s="478"/>
      <c r="F6" s="478"/>
      <c r="G6" s="478"/>
      <c r="H6" s="478"/>
      <c r="I6" s="478"/>
      <c r="J6" s="478"/>
      <c r="K6" s="478"/>
      <c r="L6" s="478"/>
      <c r="M6" s="478"/>
      <c r="N6" s="478"/>
      <c r="O6" s="478"/>
      <c r="P6" s="479"/>
      <c r="Q6" s="477">
        <f t="shared" si="0"/>
        <v>735.23</v>
      </c>
    </row>
    <row r="7" spans="1:17">
      <c r="A7" s="477" t="s">
        <v>112</v>
      </c>
      <c r="B7" s="478">
        <f>landbouw!B8</f>
        <v>709.66700000000003</v>
      </c>
      <c r="C7" s="478">
        <f>landbouw!C8</f>
        <v>0</v>
      </c>
      <c r="D7" s="478">
        <f>landbouw!D8</f>
        <v>0</v>
      </c>
      <c r="E7" s="478">
        <f>landbouw!E8</f>
        <v>20.859280703202554</v>
      </c>
      <c r="F7" s="478">
        <f>landbouw!F8</f>
        <v>2956.4343736081382</v>
      </c>
      <c r="G7" s="478">
        <f>landbouw!G8</f>
        <v>0</v>
      </c>
      <c r="H7" s="478">
        <f>landbouw!H8</f>
        <v>0</v>
      </c>
      <c r="I7" s="478">
        <f>landbouw!I8</f>
        <v>0</v>
      </c>
      <c r="J7" s="478">
        <f>landbouw!J8</f>
        <v>102.81550802672133</v>
      </c>
      <c r="K7" s="478">
        <f>landbouw!K8</f>
        <v>0</v>
      </c>
      <c r="L7" s="478">
        <f>landbouw!L8</f>
        <v>0</v>
      </c>
      <c r="M7" s="478">
        <f>landbouw!M8</f>
        <v>0</v>
      </c>
      <c r="N7" s="478">
        <f>landbouw!N8</f>
        <v>0</v>
      </c>
      <c r="O7" s="478">
        <f>landbouw!O8</f>
        <v>0</v>
      </c>
      <c r="P7" s="479">
        <f>landbouw!P8</f>
        <v>0</v>
      </c>
      <c r="Q7" s="477">
        <f t="shared" si="0"/>
        <v>3789.7761623380625</v>
      </c>
    </row>
    <row r="8" spans="1:17">
      <c r="A8" s="477" t="s">
        <v>635</v>
      </c>
      <c r="B8" s="478">
        <f>industrie!B18</f>
        <v>9292.8467999999993</v>
      </c>
      <c r="C8" s="478">
        <f>industrie!C18</f>
        <v>0</v>
      </c>
      <c r="D8" s="478">
        <f>industrie!D18</f>
        <v>4373.6304534999999</v>
      </c>
      <c r="E8" s="478">
        <f>industrie!E18</f>
        <v>1660.4074610062494</v>
      </c>
      <c r="F8" s="478">
        <f>industrie!F18</f>
        <v>4805.5554324471341</v>
      </c>
      <c r="G8" s="478">
        <f>industrie!G18</f>
        <v>0</v>
      </c>
      <c r="H8" s="478">
        <f>industrie!H18</f>
        <v>0</v>
      </c>
      <c r="I8" s="478">
        <f>industrie!I18</f>
        <v>0</v>
      </c>
      <c r="J8" s="478">
        <f>industrie!J18</f>
        <v>0</v>
      </c>
      <c r="K8" s="478">
        <f>industrie!K18</f>
        <v>0</v>
      </c>
      <c r="L8" s="478">
        <f>industrie!L18</f>
        <v>0</v>
      </c>
      <c r="M8" s="478">
        <f>industrie!M18</f>
        <v>0</v>
      </c>
      <c r="N8" s="478">
        <f>industrie!N18</f>
        <v>1970.757503278659</v>
      </c>
      <c r="O8" s="478">
        <f>industrie!O18</f>
        <v>0</v>
      </c>
      <c r="P8" s="479">
        <f>industrie!P18</f>
        <v>0</v>
      </c>
      <c r="Q8" s="477">
        <f t="shared" si="0"/>
        <v>22103.197650232043</v>
      </c>
    </row>
    <row r="9" spans="1:17" s="483" customFormat="1">
      <c r="A9" s="481" t="s">
        <v>561</v>
      </c>
      <c r="B9" s="482">
        <f>transport!B14</f>
        <v>87.506010621940703</v>
      </c>
      <c r="C9" s="482">
        <f>transport!C14</f>
        <v>0</v>
      </c>
      <c r="D9" s="482">
        <f>transport!D14</f>
        <v>296.85338143053326</v>
      </c>
      <c r="E9" s="482">
        <f>transport!E14</f>
        <v>429.66642683045364</v>
      </c>
      <c r="F9" s="482">
        <f>transport!F14</f>
        <v>0</v>
      </c>
      <c r="G9" s="482">
        <f>transport!G14</f>
        <v>156258.37960777807</v>
      </c>
      <c r="H9" s="482">
        <f>transport!H14</f>
        <v>33991.721848652378</v>
      </c>
      <c r="I9" s="482">
        <f>transport!I14</f>
        <v>0</v>
      </c>
      <c r="J9" s="482">
        <f>transport!J14</f>
        <v>0</v>
      </c>
      <c r="K9" s="482">
        <f>transport!K14</f>
        <v>0</v>
      </c>
      <c r="L9" s="482">
        <f>transport!L14</f>
        <v>0</v>
      </c>
      <c r="M9" s="482">
        <f>transport!M14</f>
        <v>10138.349079216328</v>
      </c>
      <c r="N9" s="482">
        <f>transport!N14</f>
        <v>0</v>
      </c>
      <c r="O9" s="482">
        <f>transport!O14</f>
        <v>0</v>
      </c>
      <c r="P9" s="482">
        <f>transport!P14</f>
        <v>0</v>
      </c>
      <c r="Q9" s="481">
        <f>SUM(B9:P9)</f>
        <v>201202.4763545297</v>
      </c>
    </row>
    <row r="10" spans="1:17">
      <c r="A10" s="477" t="s">
        <v>551</v>
      </c>
      <c r="B10" s="478">
        <f>transport!B54</f>
        <v>0</v>
      </c>
      <c r="C10" s="478">
        <f>transport!C54</f>
        <v>0</v>
      </c>
      <c r="D10" s="478">
        <f>transport!D54</f>
        <v>0</v>
      </c>
      <c r="E10" s="478">
        <f>transport!E54</f>
        <v>0</v>
      </c>
      <c r="F10" s="478">
        <f>transport!F54</f>
        <v>0</v>
      </c>
      <c r="G10" s="478">
        <f>transport!G54</f>
        <v>3490.3492379863897</v>
      </c>
      <c r="H10" s="478">
        <f>transport!H54</f>
        <v>0</v>
      </c>
      <c r="I10" s="478">
        <f>transport!I54</f>
        <v>0</v>
      </c>
      <c r="J10" s="478">
        <f>transport!J54</f>
        <v>0</v>
      </c>
      <c r="K10" s="478">
        <f>transport!K54</f>
        <v>0</v>
      </c>
      <c r="L10" s="478">
        <f>transport!L54</f>
        <v>0</v>
      </c>
      <c r="M10" s="478">
        <f>transport!M54</f>
        <v>198.23642830430703</v>
      </c>
      <c r="N10" s="478">
        <f>transport!N54</f>
        <v>0</v>
      </c>
      <c r="O10" s="478">
        <f>transport!O54</f>
        <v>0</v>
      </c>
      <c r="P10" s="479">
        <f>transport!P54</f>
        <v>0</v>
      </c>
      <c r="Q10" s="477">
        <f t="shared" si="0"/>
        <v>3688.5856662906967</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66656.889894166568</v>
      </c>
      <c r="C14" s="488">
        <f t="shared" ref="C14:Q14" ca="1" si="1">SUM(C4:C13)</f>
        <v>321.42857142857144</v>
      </c>
      <c r="D14" s="488">
        <f t="shared" ca="1" si="1"/>
        <v>85179.452767173381</v>
      </c>
      <c r="E14" s="488">
        <f t="shared" si="1"/>
        <v>5068.9502410507539</v>
      </c>
      <c r="F14" s="488">
        <f t="shared" ca="1" si="1"/>
        <v>61109.387121634456</v>
      </c>
      <c r="G14" s="488">
        <f t="shared" si="1"/>
        <v>159748.72884576448</v>
      </c>
      <c r="H14" s="488">
        <f t="shared" si="1"/>
        <v>33991.721848652378</v>
      </c>
      <c r="I14" s="488">
        <f t="shared" si="1"/>
        <v>0</v>
      </c>
      <c r="J14" s="488">
        <f t="shared" si="1"/>
        <v>102.87054793869706</v>
      </c>
      <c r="K14" s="488">
        <f t="shared" si="1"/>
        <v>0</v>
      </c>
      <c r="L14" s="488">
        <f t="shared" ca="1" si="1"/>
        <v>0</v>
      </c>
      <c r="M14" s="488">
        <f t="shared" si="1"/>
        <v>10336.585507520635</v>
      </c>
      <c r="N14" s="488">
        <f t="shared" ca="1" si="1"/>
        <v>25711.505493999022</v>
      </c>
      <c r="O14" s="488">
        <f t="shared" si="1"/>
        <v>478.38</v>
      </c>
      <c r="P14" s="489">
        <f t="shared" si="1"/>
        <v>2535.8666666666663</v>
      </c>
      <c r="Q14" s="489">
        <f t="shared" ca="1" si="1"/>
        <v>451241.76750599558</v>
      </c>
    </row>
    <row r="16" spans="1:17">
      <c r="A16" s="491" t="s">
        <v>556</v>
      </c>
      <c r="B16" s="841">
        <f ca="1">huishoudens!B10</f>
        <v>0.1900919123081847</v>
      </c>
      <c r="C16" s="841">
        <f ca="1">huishoudens!C10</f>
        <v>0.23764705882352946</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6407.3265284397958</v>
      </c>
      <c r="C21" s="478">
        <f t="shared" ref="C21:C30" ca="1" si="3">C4*$C$16</f>
        <v>0</v>
      </c>
      <c r="D21" s="478">
        <f t="shared" ref="D21:D30" si="4">D4*$D$16</f>
        <v>10982.322422590201</v>
      </c>
      <c r="E21" s="478">
        <f t="shared" ref="E21:E30" si="5">E4*$E$16</f>
        <v>612.44240410441694</v>
      </c>
      <c r="F21" s="478">
        <f t="shared" ref="F21:F30" si="6">F4*$F$16</f>
        <v>13219.529969895761</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31221.621325030177</v>
      </c>
    </row>
    <row r="22" spans="1:17">
      <c r="A22" s="477" t="s">
        <v>156</v>
      </c>
      <c r="B22" s="478">
        <f t="shared" ca="1" si="2"/>
        <v>4205.8167023434971</v>
      </c>
      <c r="C22" s="478">
        <f t="shared" ca="1" si="3"/>
        <v>76.386554621848759</v>
      </c>
      <c r="D22" s="478">
        <f t="shared" ca="1" si="4"/>
        <v>5280.4893017228578</v>
      </c>
      <c r="E22" s="478">
        <f t="shared" si="5"/>
        <v>59.027471355545636</v>
      </c>
      <c r="F22" s="478">
        <f t="shared" ca="1" si="6"/>
        <v>1024.2251133638836</v>
      </c>
      <c r="G22" s="478">
        <f t="shared" si="7"/>
        <v>0</v>
      </c>
      <c r="H22" s="478">
        <f t="shared" si="8"/>
        <v>0</v>
      </c>
      <c r="I22" s="478">
        <f t="shared" si="9"/>
        <v>0</v>
      </c>
      <c r="J22" s="478">
        <f t="shared" si="10"/>
        <v>1.9484128839409399E-2</v>
      </c>
      <c r="K22" s="478">
        <f t="shared" si="11"/>
        <v>0</v>
      </c>
      <c r="L22" s="478">
        <f t="shared" ca="1" si="12"/>
        <v>0</v>
      </c>
      <c r="M22" s="478">
        <f t="shared" si="13"/>
        <v>0</v>
      </c>
      <c r="N22" s="478">
        <f t="shared" ca="1" si="14"/>
        <v>0</v>
      </c>
      <c r="O22" s="478">
        <f t="shared" si="15"/>
        <v>0</v>
      </c>
      <c r="P22" s="479">
        <f t="shared" si="16"/>
        <v>0</v>
      </c>
      <c r="Q22" s="477">
        <f t="shared" ref="Q22:Q30" ca="1" si="17">SUM(B22:P22)</f>
        <v>10645.964627536472</v>
      </c>
    </row>
    <row r="23" spans="1:17">
      <c r="A23" s="477" t="s">
        <v>194</v>
      </c>
      <c r="B23" s="478">
        <f t="shared" ca="1" si="2"/>
        <v>139.76127668634663</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139.76127668634663</v>
      </c>
    </row>
    <row r="24" spans="1:17">
      <c r="A24" s="477" t="s">
        <v>112</v>
      </c>
      <c r="B24" s="478">
        <f t="shared" ca="1" si="2"/>
        <v>134.90195713201251</v>
      </c>
      <c r="C24" s="478">
        <f t="shared" ca="1" si="3"/>
        <v>0</v>
      </c>
      <c r="D24" s="478">
        <f t="shared" si="4"/>
        <v>0</v>
      </c>
      <c r="E24" s="478">
        <f t="shared" si="5"/>
        <v>4.7350567196269795</v>
      </c>
      <c r="F24" s="478">
        <f t="shared" si="6"/>
        <v>789.367977753373</v>
      </c>
      <c r="G24" s="478">
        <f t="shared" si="7"/>
        <v>0</v>
      </c>
      <c r="H24" s="478">
        <f t="shared" si="8"/>
        <v>0</v>
      </c>
      <c r="I24" s="478">
        <f t="shared" si="9"/>
        <v>0</v>
      </c>
      <c r="J24" s="478">
        <f t="shared" si="10"/>
        <v>36.396689841459349</v>
      </c>
      <c r="K24" s="478">
        <f t="shared" si="11"/>
        <v>0</v>
      </c>
      <c r="L24" s="478">
        <f t="shared" si="12"/>
        <v>0</v>
      </c>
      <c r="M24" s="478">
        <f t="shared" si="13"/>
        <v>0</v>
      </c>
      <c r="N24" s="478">
        <f t="shared" si="14"/>
        <v>0</v>
      </c>
      <c r="O24" s="478">
        <f t="shared" si="15"/>
        <v>0</v>
      </c>
      <c r="P24" s="479">
        <f t="shared" si="16"/>
        <v>0</v>
      </c>
      <c r="Q24" s="477">
        <f t="shared" ca="1" si="17"/>
        <v>965.4016814464718</v>
      </c>
    </row>
    <row r="25" spans="1:17">
      <c r="A25" s="477" t="s">
        <v>635</v>
      </c>
      <c r="B25" s="478">
        <f t="shared" ca="1" si="2"/>
        <v>1766.4950189989947</v>
      </c>
      <c r="C25" s="478">
        <f t="shared" ca="1" si="3"/>
        <v>0</v>
      </c>
      <c r="D25" s="478">
        <f t="shared" si="4"/>
        <v>883.47335160700004</v>
      </c>
      <c r="E25" s="478">
        <f t="shared" si="5"/>
        <v>376.9124936484186</v>
      </c>
      <c r="F25" s="478">
        <f t="shared" si="6"/>
        <v>1283.0833004633848</v>
      </c>
      <c r="G25" s="478">
        <f t="shared" si="7"/>
        <v>0</v>
      </c>
      <c r="H25" s="478">
        <f t="shared" si="8"/>
        <v>0</v>
      </c>
      <c r="I25" s="478">
        <f t="shared" si="9"/>
        <v>0</v>
      </c>
      <c r="J25" s="478">
        <f t="shared" si="10"/>
        <v>0</v>
      </c>
      <c r="K25" s="478">
        <f t="shared" si="11"/>
        <v>0</v>
      </c>
      <c r="L25" s="478">
        <f t="shared" si="12"/>
        <v>0</v>
      </c>
      <c r="M25" s="478">
        <f t="shared" si="13"/>
        <v>0</v>
      </c>
      <c r="N25" s="478">
        <f t="shared" si="14"/>
        <v>0</v>
      </c>
      <c r="O25" s="478">
        <f t="shared" si="15"/>
        <v>0</v>
      </c>
      <c r="P25" s="479">
        <f t="shared" si="16"/>
        <v>0</v>
      </c>
      <c r="Q25" s="477">
        <f t="shared" ca="1" si="17"/>
        <v>4309.9641647177987</v>
      </c>
    </row>
    <row r="26" spans="1:17" s="483" customFormat="1">
      <c r="A26" s="481" t="s">
        <v>561</v>
      </c>
      <c r="B26" s="835">
        <f t="shared" ca="1" si="2"/>
        <v>16.63418489758503</v>
      </c>
      <c r="C26" s="482">
        <f t="shared" ca="1" si="3"/>
        <v>0</v>
      </c>
      <c r="D26" s="482">
        <f t="shared" si="4"/>
        <v>59.964383048967726</v>
      </c>
      <c r="E26" s="482">
        <f t="shared" si="5"/>
        <v>97.534278890512979</v>
      </c>
      <c r="F26" s="482">
        <f t="shared" si="6"/>
        <v>0</v>
      </c>
      <c r="G26" s="482">
        <f t="shared" si="7"/>
        <v>41720.987355276746</v>
      </c>
      <c r="H26" s="482">
        <f t="shared" si="8"/>
        <v>8463.9387403144428</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50359.058942428252</v>
      </c>
    </row>
    <row r="27" spans="1:17">
      <c r="A27" s="477" t="s">
        <v>551</v>
      </c>
      <c r="B27" s="478">
        <f t="shared" ca="1" si="2"/>
        <v>0</v>
      </c>
      <c r="C27" s="478">
        <f t="shared" ca="1" si="3"/>
        <v>0</v>
      </c>
      <c r="D27" s="478">
        <f t="shared" si="4"/>
        <v>0</v>
      </c>
      <c r="E27" s="478">
        <f t="shared" si="5"/>
        <v>0</v>
      </c>
      <c r="F27" s="478">
        <f t="shared" si="6"/>
        <v>0</v>
      </c>
      <c r="G27" s="478">
        <f t="shared" si="7"/>
        <v>931.92324654236609</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931.92324654236609</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12670.93566849823</v>
      </c>
      <c r="C31" s="488">
        <f t="shared" ca="1" si="18"/>
        <v>76.386554621848759</v>
      </c>
      <c r="D31" s="488">
        <f t="shared" ca="1" si="18"/>
        <v>17206.249458969029</v>
      </c>
      <c r="E31" s="488">
        <f t="shared" si="18"/>
        <v>1150.6517047185212</v>
      </c>
      <c r="F31" s="488">
        <f t="shared" ca="1" si="18"/>
        <v>16316.206361476401</v>
      </c>
      <c r="G31" s="488">
        <f t="shared" si="18"/>
        <v>42652.910601819109</v>
      </c>
      <c r="H31" s="488">
        <f t="shared" si="18"/>
        <v>8463.9387403144428</v>
      </c>
      <c r="I31" s="488">
        <f t="shared" si="18"/>
        <v>0</v>
      </c>
      <c r="J31" s="488">
        <f t="shared" si="18"/>
        <v>36.416173970298757</v>
      </c>
      <c r="K31" s="488">
        <f t="shared" si="18"/>
        <v>0</v>
      </c>
      <c r="L31" s="488">
        <f t="shared" ca="1" si="18"/>
        <v>0</v>
      </c>
      <c r="M31" s="488">
        <f t="shared" si="18"/>
        <v>0</v>
      </c>
      <c r="N31" s="488">
        <f t="shared" ca="1" si="18"/>
        <v>0</v>
      </c>
      <c r="O31" s="488">
        <f t="shared" si="18"/>
        <v>0</v>
      </c>
      <c r="P31" s="489">
        <f t="shared" si="18"/>
        <v>0</v>
      </c>
      <c r="Q31" s="489">
        <f t="shared" ca="1" si="18"/>
        <v>98573.695264387876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0.1900919123081847</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0.1900919123081847</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0.1900919123081847</v>
      </c>
      <c r="C29" s="529">
        <f ca="1">'EF ele_warmte'!B22</f>
        <v>0.23764705882352946</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2018-09-06T12:49:03Z</dcterms:modified>
</cp:coreProperties>
</file>