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<sst xmlns="http://schemas.openxmlformats.org/spreadsheetml/2006/main" count="1914" uniqueCount="809">
  <si>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</si>
  <si>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</si>
  <si>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</si>
  <si>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</si>
  <si>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</si>
  <si>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</si>
  <si>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</si>
  <si>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</si>
  <si>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</si>
  <si>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</si>
  <si>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</si>
  <si>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</si>
  <si>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</si>
  <si>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</si>
  <si>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</si>
  <si>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</si>
  <si>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</si>
  <si>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</si>
  <si>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</si>
  <si>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</si>
  <si>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</si>
  <si>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</si>
  <si>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</si>
  <si>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</si>
  <si>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</si>
  <si>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</si>
  <si>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</si>
  <si>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</si>
  <si>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</si>
  <si>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</si>
  <si>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</si>
  <si>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</si>
  <si>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</si>
  <si>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</si>
  <si>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</si>
  <si>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</si>
  <si>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</si>
  <si>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</si>
  <si>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</si>
  <si>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</si>
  <si>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</si>
  <si>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</si>
  <si>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</si>
  <si>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</si>
  <si>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</si>
  <si>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</si>
  <si>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</si>
  <si>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</si>
  <si>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</si>
  <si>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</si>
  <si>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</si>
  <si>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</si>
  <si>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</si>
  <si>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</si>
  <si>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</si>
  <si>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</si>
  <si>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</si>
  <si>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</si>
  <si>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</si>
  <si>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</si>
  <si>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</si>
  <si>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</si>
  <si>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</si>
  <si>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</si>
  <si>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</si>
  <si>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</si>
  <si>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</si>
  <si>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</si>
  <si>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</si>
  <si>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</si>
  <si>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</si>
  <si>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</si>
  <si>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</si>
  <si>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</si>
  <si>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</si>
  <si>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</si>
  <si>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</si>
  <si>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</si>
  <si>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</si>
  <si>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</si>
  <si>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</si>
  <si>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</si>
  <si>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</si>
  <si>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</si>
  <si>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</si>
  <si>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</si>
  <si>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</si>
  <si>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</si>
  <si>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</si>
  <si>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</si>
  <si>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</si>
  <si>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</si>
  <si>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</si>
  <si>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</si>
  <si>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</si>
  <si>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</si>
  <si>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</si>
  <si>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</si>
  <si>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</si>
  <si>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</si>
  <si>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</si>
  <si>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</si>
  <si>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</si>
  <si>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</si>
  <si>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</si>
  <si>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</si>
  <si>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</si>
  <si>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</si>
  <si>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</si>
  <si>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</si>
  <si>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</si>
  <si>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</si>
  <si>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</si>
  <si>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</si>
  <si>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</si>
  <si>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</si>
  <si>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</si>
  <si>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</si>
  <si>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</si>
  <si>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</si>
  <si>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</si>
  <si>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</si>
  <si>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</si>
  <si>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</si>
  <si>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</si>
  <si>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</si>
  <si>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</si>
  <si>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</si>
  <si>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</si>
  <si>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</si>
  <si>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</si>
  <si>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</si>
  <si>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</si>
  <si>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</si>
  <si>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</si>
  <si>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</si>
  <si>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</si>
  <si>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</si>
  <si>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</si>
  <si>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</si>
  <si>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</si>
  <si>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</si>
  <si>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</si>
  <si>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</si>
  <si>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</si>
  <si>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</si>
  <si>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</si>
  <si>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</si>
  <si>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</si>
  <si>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</si>
  <si>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</si>
  <si>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</si>
  <si>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</si>
  <si>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</si>
  <si>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</si>
  <si>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</si>
  <si>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</si>
  <si>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</si>
  <si>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</si>
  <si>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</si>
  <si>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</si>
  <si>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</si>
  <si>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</si>
  <si>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</si>
  <si>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</si>
  <si>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</si>
  <si>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</si>
  <si>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</si>
  <si>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</si>
  <si>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</si>
  <si>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</si>
  <si>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</si>
  <si>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</si>
  <si>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</si>
  <si>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</si>
  <si>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</si>
  <si>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</si>
  <si>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</si>
  <si>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</si>
  <si>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</si>
  <si>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</si>
  <si>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</si>
  <si>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</si>
  <si>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</si>
  <si>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</si>
  <si>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</si>
  <si>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</si>
  <si>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</si>
  <si>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</si>
  <si>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</si>
  <si>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</si>
  <si>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</si>
  <si>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</si>
  <si>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</si>
  <si>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</si>
  <si>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</si>
  <si>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</si>
  <si>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</si>
  <si>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</si>
  <si>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</si>
  <si>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</si>
  <si>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</si>
  <si>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</si>
  <si>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</si>
  <si>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</si>
  <si>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</si>
  <si>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</si>
  <si>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</si>
  <si>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</si>
  <si>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</si>
  <si>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</si>
  <si>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</si>
  <si>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</si>
  <si>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</si>
  <si>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</si>
  <si>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</si>
  <si>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</si>
  <si>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</si>
  <si>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</si>
  <si>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</si>
  <si>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</si>
  <si>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</si>
  <si>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</si>
  <si>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</si>
  <si>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</si>
  <si>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</si>
  <si>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</si>
  <si>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</si>
  <si>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</si>
  <si>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</si>
  <si>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</si>
  <si>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</si>
  <si>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</si>
  <si>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</si>
  <si>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</si>
  <si>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</si>
  <si>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</si>
  <si>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</si>
  <si>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</si>
  <si>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</si>
  <si>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</si>
  <si>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</si>
  <si>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</si>
  <si>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</si>
  <si>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</si>
  <si>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</si>
  <si>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</si>
  <si>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</si>
  <si>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</si>
  <si>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</si>
  <si>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</si>
  <si>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</si>
  <si>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</si>
  <si>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</si>
  <si>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</si>
  <si>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</si>
  <si>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</si>
  <si>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</si>
  <si>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</si>
  <si>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</si>
  <si>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</si>
  <si>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</si>
  <si>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</si>
  <si>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</si>
  <si>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</si>
  <si>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</si>
  <si>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</si>
  <si>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</si>
  <si>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</si>
  <si>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</si>
  <si>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</si>
  <si>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</si>
  <si>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</si>
  <si>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</si>
  <si>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</si>
  <si>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</si>
  <si>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</si>
  <si>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</si>
  <si>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</si>
  <si>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</si>
  <si>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</si>
  <si>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</si>
  <si>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</si>
  <si>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</si>
  <si>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</si>
  <si>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</si>
  <si>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</si>
  <si>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</si>
  <si>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</si>
  <si>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</si>
  <si>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</si>
  <si>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</si>
  <si>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</si>
  <si>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</si>
  <si>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</si>
  <si>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</si>
  <si>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</si>
  <si>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</si>
  <si>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</si>
  <si>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</si>
  <si>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</si>
  <si>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</si>
  <si>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</si>
  <si>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</si>
  <si>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</si>
  <si>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</si>
  <si>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</si>
  <si>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</si>
  <si>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</si>
  <si>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</si>
  <si>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</si>
  <si>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</si>
  <si>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</si>
  <si>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</si>
  <si>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</si>
  <si>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</si>
  <si>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</si>
  <si>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</si>
  <si>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</si>
  <si>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</si>
  <si>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</si>
  <si>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</si>
  <si>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</si>
  <si>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</si>
  <si>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</si>
  <si>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</si>
  <si>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</si>
  <si>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</si>
  <si>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</si>
  <si>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</si>
  <si>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</si>
  <si>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</si>
  <si>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</si>
  <si>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</si>
  <si>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</si>
  <si>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</si>
  <si>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</si>
  <si>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</si>
  <si>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</si>
  <si>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</si>
  <si>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</si>
  <si>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</si>
  <si>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</si>
  <si>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</si>
  <si>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</si>
  <si>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</si>
  <si>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</si>
  <si>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</si>
  <si>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</si>
  <si>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</si>
  <si>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</si>
  <si>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</si>
  <si>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</si>
  <si>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</si>
  <si>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</si>
  <si>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</si>
  <si>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</si>
  <si>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</si>
  <si>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</si>
  <si>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</si>
  <si>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</si>
  <si>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</si>
  <si>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</si>
  <si>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</si>
  <si>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</si>
  <si>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</si>
  <si>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</si>
  <si>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</si>
  <si>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</si>
  <si>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</si>
  <si>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</si>
  <si>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</si>
  <si>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</si>
  <si>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</si>
  <si>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</si>
  <si>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</si>
  <si>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</si>
  <si>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</si>
  <si>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</si>
  <si>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</si>
  <si>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</si>
  <si>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</si>
  <si>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</si>
  <si>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</si>
  <si>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</si>
  <si>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</si>
  <si>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</si>
  <si>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</si>
  <si>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</si>
  <si>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</si>
  <si>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</si>
  <si>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</si>
  <si>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</si>
  <si>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</si>
  <si>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</si>
  <si>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</si>
  <si>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</si>
  <si>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</si>
  <si>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</si>
  <si>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</si>
  <si>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</si>
  <si>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</si>
  <si>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</si>
  <si>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</si>
  <si>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</si>
  <si>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</si>
  <si>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</si>
  <si>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</si>
  <si>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</si>
  <si>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</si>
  <si>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</si>
  <si>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</si>
  <si>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</si>
  <si>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</si>
  <si>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</si>
  <si>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</si>
  <si>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</si>
  <si>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</si>
  <si>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</si>
  <si>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</si>
  <si>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</si>
  <si>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</si>
  <si>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</si>
  <si>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</si>
  <si>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</si>
  <si>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</si>
  <si>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</si>
  <si>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</si>
  <si>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</si>
  <si>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</si>
  <si>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</si>
  <si>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</si>
  <si>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</si>
  <si>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</si>
  <si>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</si>
  <si>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</si>
  <si>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</si>
  <si>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</si>
  <si>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</si>
  <si>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</si>
  <si>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</si>
  <si>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</si>
  <si>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</si>
  <si>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</si>
  <si>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</si>
  <si>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</si>
  <si>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</si>
  <si>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</si>
  <si>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</si>
  <si>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</si>
  <si>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</si>
  <si>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</si>
  <si>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</si>
  <si>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</si>
  <si>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</si>
  <si>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</si>
  <si>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</si>
  <si>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</si>
  <si>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</si>
  <si>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</si>
  <si>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</si>
  <si>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</si>
  <si>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</si>
  <si>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</si>
  <si>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</si>
  <si>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</si>
  <si>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</si>
  <si>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</si>
  <si>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</si>
  <si>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</si>
  <si>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</si>
  <si>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</si>
  <si>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</si>
  <si>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</si>
  <si>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</si>
  <si>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</si>
  <si>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</si>
  <si>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</si>
  <si>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</si>
  <si>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</si>
  <si>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</si>
  <si>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</si>
  <si>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</si>
  <si>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</si>
  <si>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</si>
  <si>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</si>
  <si>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</si>
  <si>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</si>
  <si>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</si>
  <si>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</si>
  <si>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</si>
  <si>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</si>
  <si>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</si>
  <si>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</si>
  <si>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</si>
  <si>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</si>
  <si>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</si>
  <si>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</si>
  <si>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</si>
  <si>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</si>
  <si>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</si>
  <si>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</si>
  <si>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</si>
  <si>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</si>
  <si>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</si>
  <si>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</si>
  <si>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</si>
  <si>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</si>
  <si>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</si>
  <si>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</si>
  <si>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</si>
  <si>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</si>
  <si>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</si>
  <si>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</si>
  <si>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</si>
  <si>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</si>
  <si>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</si>
  <si>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</si>
  <si>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</si>
  <si>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</si>
  <si>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</si>
  <si>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</si>
  <si>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</si>
  <si>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</si>
  <si>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</si>
  <si>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</si>
  <si>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</si>
  <si>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</si>
  <si>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</si>
  <si>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</si>
  <si>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</si>
  <si>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</si>
  <si>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</si>
  <si>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</si>
  <si>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</si>
  <si>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</si>
  <si>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</si>
  <si>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</si>
  <si>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</si>
  <si>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</si>
  <si>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</si>
  <si>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</si>
  <si>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</si>
  <si>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</si>
  <si>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</si>
  <si>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</si>
  <si>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</si>
  <si>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</si>
  <si>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</si>
  <si>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</si>
  <si>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</si>
  <si>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</si>
  <si>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</si>
  <si>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</si>
  <si>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</si>
  <si>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</si>
  <si>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</si>
  <si>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</si>
  <si>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</si>
  <si>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</si>
  <si>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</si>
  <si>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</si>
  <si>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</si>
  <si>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</si>
  <si>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</si>
  <si>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</si>
  <si>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</si>
  <si>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</si>
  <si>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</si>
  <si>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</si>
  <si>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</si>
  <si>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</si>
  <si>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</si>
  <si>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</si>
  <si>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</si>
  <si>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</si>
  <si>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</si>
  <si>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</si>
  <si>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</si>
  <si>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</si>
  <si>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</si>
  <si>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</si>
  <si>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</si>
  <si>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</si>
  <si>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</si>
  <si>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</si>
  <si>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</si>
  <si>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</si>
  <si>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</si>
  <si>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</si>
  <si>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</si>
  <si>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</si>
  <si>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</si>
  <si>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</si>
  <si>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</si>
  <si>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</si>
  <si>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</si>
  <si>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</si>
  <si>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</si>
  <si>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</si>
  <si>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</si>
  <si>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</si>
  <si>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</si>
  <si>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</si>
  <si>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</si>
  <si>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</si>
  <si>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</si>
  <si>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</si>
  <si>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</si>
  <si>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</si>
  <si>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</si>
  <si>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</si>
  <si>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</si>
  <si>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</si>
  <si>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</si>
  <si>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</si>
  <si>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</si>
  <si>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</si>
  <si>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</si>
  <si>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</si>
  <si>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</si>
  <si>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</si>
  <si>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</si>
  <si>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</si>
  <si>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</si>
  <si>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</si>
  <si>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</si>
  <si>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</si>
  <si>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</si>
  <si>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</si>
  <si>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</si>
  <si>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</si>
  <si>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</si>
  <si>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</si>
  <si>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</si>
  <si>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</si>
  <si>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</si>
  <si>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</si>
  <si>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</si>
  <si>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</si>
  <si>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</si>
  <si>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</si>
  <si>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</si>
  <si>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</si>
  <si>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</si>
  <si>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</si>
  <si>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</si>
  <si>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</si>
  <si>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</si>
  <si>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</si>
  <si>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</si>
  <si>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</si>
  <si>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</si>
  <si>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</si>
  <si>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</si>
  <si>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</si>
  <si>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</si>
  <si>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</si>
  <si>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</si>
  <si>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</si>
  <si>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</si>
  <si>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</si>
  <si>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</si>
  <si>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</si>
  <si>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</si>
  <si>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</si>
  <si>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</si>
  <si>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</si>
  <si>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</si>
  <si>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</si>
  <si>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</si>
  <si>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</si>
  <si>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</si>
  <si>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</si>
  <si>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</si>
  <si>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</si>
  <si>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</si>
  <si>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</si>
  <si>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</si>
  <si>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</si>
  <si>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</si>
  <si>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</si>
  <si>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</si>
  <si>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</si>
  <si>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</si>
  <si>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</si>
  <si>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</si>
  <si>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</si>
  <si>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</si>
  <si>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</si>
  <si>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</si>
  <si>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</si>
  <si>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</si>
  <si>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</si>
  <si>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</si>
  <si>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</si>
  <si>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</si>
  <si>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</si>
  <si>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</si>
  <si>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</si>
  <si>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</si>
  <si>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</si>
  <si>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</si>
  <si>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</si>
  <si>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</si>
  <si>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</si>
  <si>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</si>
  <si>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</si>
  <si>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</si>
  <si>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</si>
  <si>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</si>
  <si>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</si>
  <si>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</si>
  <si>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</si>
  <si>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</si>
  <si>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</si>
  <si>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</si>
  <si>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</si>
  <si>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</si>
  <si>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</si>
  <si>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</si>
  <si>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</si>
  <si>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</si>
  <si>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</si>
  <si>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</si>
  <si>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</si>
  <si>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</si>
  <si>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</si>
  <si>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</si>
  <si>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</si>
  <si>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</si>
  <si>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</si>
  <si>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</si>
  <si>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</si>
  <si>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</si>
  <si>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</si>
  <si>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</si>
  <si>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</si>
  <si>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</si>
  <si>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</si>
  <si>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</si>
  <si>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</si>
  <si>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</si>
  <si>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</si>
  <si>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</si>
  <si>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</si>
  <si>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</si>
  <si>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</si>
  <si>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</si>
  <si>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</si>
  <si>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</si>
  <si>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</si>
  <si>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</si>
  <si>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</si>
  <si>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</si>
  <si>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</si>
  <si>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</si>
  <si>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</si>
  <si>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</si>
  <si>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</si>
  <si>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</si>
  <si>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</si>
  <si>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</si>
  <si>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</si>
  <si>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</si>
  <si>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</si>
  <si>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</si>
  <si>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</si>
  <si>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</si>
  <si>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</si>
  <si>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</si>
  <si>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</si>
  <si>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</si>
  <si>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</si>
  <si>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</si>
  <si>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</si>
  <si>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</si>
  <si>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</si>
  <si>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</si>
  <si>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</si>
  <si>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</si>
  <si>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</si>
  <si>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</si>
  <si>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</si>
  <si>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</si>
  <si>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</si>
  <si>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</si>
  <si>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</si>
  <si>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</si>
  <si>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</si>
  <si>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</si>
  <si>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</si>
  <si>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</si>
  <si>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</si>
  <si>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</si>
  <si>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</si>
  <si>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</si>
  <si>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</si>
  <si>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</si>
  <si>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</si>
  <si>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</si>
  <si>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71004</t>
  </si>
  <si>
    <t>BERINGEN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</si>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</sst>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363869.54996343976</c:v>
                </c:pt>
                <c:pt idx="1">
                  <c:v>95555.693548045543</c:v>
                </c:pt>
                <c:pt idx="2">
                  <c:v>2021.1</c:v>
                </c:pt>
                <c:pt idx="3">
                  <c:v>3279.4682550868847</c:v>
                </c:pt>
                <c:pt idx="4">
                  <c:v>124949.4124345184</c:v>
                </c:pt>
                <c:pt idx="5">
                  <c:v>264585.17412937107</c:v>
                </c:pt>
                <c:pt idx="6">
                  <c:v>3438.8058434950908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46080"/>
        <c:axId val="156451968"/>
      </c:barChart>
      <c:catAx>
        <c:axId val="156446080"/>
        <c:scaling>
          <c:orientation val="minMax"/>
        </c:scaling>
        <c:axPos val="b"/>
        <c:numFmt formatCode="General" sourceLinked="0"/>
        <c:tickLblPos val="nextTo"/>
        <c:crossAx val="156451968"/>
        <c:crosses val="autoZero"/>
        <c:auto val="1"/>
        <c:lblAlgn val="ctr"/>
        <c:lblOffset val="100"/>
      </c:catAx>
      <c:valAx>
        <c:axId val="156451968"/>
        <c:scaling>
          <c:orientation val="minMax"/>
        </c:scaling>
        <c:axPos val="l"/>
        <c:majorGridlines/>
        <c:numFmt formatCode="#,##0" sourceLinked="1"/>
        <c:tickLblPos val="nextTo"/>
        <c:crossAx val="156446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363869.54996343976</c:v>
                </c:pt>
                <c:pt idx="1">
                  <c:v>95555.693548045543</c:v>
                </c:pt>
                <c:pt idx="2">
                  <c:v>2021.1</c:v>
                </c:pt>
                <c:pt idx="3">
                  <c:v>3279.4682550868847</c:v>
                </c:pt>
                <c:pt idx="4">
                  <c:v>124949.4124345184</c:v>
                </c:pt>
                <c:pt idx="5">
                  <c:v>264585.17412937107</c:v>
                </c:pt>
                <c:pt idx="6">
                  <c:v>3438.8058434950908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66084.287468320472</c:v>
                </c:pt>
                <c:pt idx="1">
                  <c:v>16070.29610147418</c:v>
                </c:pt>
                <c:pt idx="2">
                  <c:v>294.78457514553907</c:v>
                </c:pt>
                <c:pt idx="3">
                  <c:v>790.80534543313604</c:v>
                </c:pt>
                <c:pt idx="4">
                  <c:v>16359.657153046279</c:v>
                </c:pt>
                <c:pt idx="5">
                  <c:v>66199.940250543979</c:v>
                </c:pt>
                <c:pt idx="6">
                  <c:v>868.81623360031858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28256"/>
        <c:axId val="156934144"/>
      </c:barChart>
      <c:catAx>
        <c:axId val="156928256"/>
        <c:scaling>
          <c:orientation val="minMax"/>
        </c:scaling>
        <c:axPos val="b"/>
        <c:numFmt formatCode="General" sourceLinked="0"/>
        <c:tickLblPos val="nextTo"/>
        <c:crossAx val="156934144"/>
        <c:crosses val="autoZero"/>
        <c:auto val="1"/>
        <c:lblAlgn val="ctr"/>
        <c:lblOffset val="100"/>
      </c:catAx>
      <c:valAx>
        <c:axId val="156934144"/>
        <c:scaling>
          <c:orientation val="minMax"/>
        </c:scaling>
        <c:axPos val="l"/>
        <c:majorGridlines/>
        <c:numFmt formatCode="#,##0" sourceLinked="1"/>
        <c:tickLblPos val="nextTo"/>
        <c:crossAx val="15692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66084.287468320472</c:v>
                </c:pt>
                <c:pt idx="1">
                  <c:v>16070.29610147418</c:v>
                </c:pt>
                <c:pt idx="2">
                  <c:v>294.78457514553907</c:v>
                </c:pt>
                <c:pt idx="3">
                  <c:v>790.80534543313604</c:v>
                </c:pt>
                <c:pt idx="4">
                  <c:v>16359.657153046279</c:v>
                </c:pt>
                <c:pt idx="5">
                  <c:v>66199.940250543979</c:v>
                </c:pt>
                <c:pt idx="6">
                  <c:v>868.81623360031858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71004</v>
      </c>
      <c r="B6" s="415"/>
      <c r="C6" s="416"/>
    </row>
    <row r="7" spans="1:7" s="413" customFormat="1" ht="15.75" customHeight="1">
      <c r="A7" s="417" t="str">
        <f>txtMunicipality</f>
        <v>BERINGEN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71004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17599</v>
      </c>
      <c r="C9" s="342">
        <v>18200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2005.74</v>
      </c>
    </row>
    <row r="15" spans="1:6">
      <c r="A15" s="348" t="s">
        <v>184</v>
      </c>
      <c r="B15" s="334">
        <v>2</v>
      </c>
    </row>
    <row r="16" spans="1:6">
      <c r="A16" s="348" t="s">
        <v>6</v>
      </c>
      <c r="B16" s="334">
        <v>120</v>
      </c>
    </row>
    <row r="17" spans="1:6">
      <c r="A17" s="348" t="s">
        <v>7</v>
      </c>
      <c r="B17" s="334">
        <v>157</v>
      </c>
    </row>
    <row r="18" spans="1:6">
      <c r="A18" s="348" t="s">
        <v>8</v>
      </c>
      <c r="B18" s="334">
        <v>207</v>
      </c>
    </row>
    <row r="19" spans="1:6">
      <c r="A19" s="348" t="s">
        <v>9</v>
      </c>
      <c r="B19" s="334">
        <v>250</v>
      </c>
    </row>
    <row r="20" spans="1:6">
      <c r="A20" s="348" t="s">
        <v>10</v>
      </c>
      <c r="B20" s="334">
        <v>133</v>
      </c>
    </row>
    <row r="21" spans="1:6">
      <c r="A21" s="348" t="s">
        <v>11</v>
      </c>
      <c r="B21" s="334">
        <v>0</v>
      </c>
    </row>
    <row r="22" spans="1:6">
      <c r="A22" s="348" t="s">
        <v>12</v>
      </c>
      <c r="B22" s="334">
        <v>2013</v>
      </c>
    </row>
    <row r="23" spans="1:6">
      <c r="A23" s="348" t="s">
        <v>13</v>
      </c>
      <c r="B23" s="334">
        <v>0</v>
      </c>
    </row>
    <row r="24" spans="1:6">
      <c r="A24" s="348" t="s">
        <v>14</v>
      </c>
      <c r="B24" s="334">
        <v>0</v>
      </c>
    </row>
    <row r="25" spans="1:6">
      <c r="A25" s="348" t="s">
        <v>15</v>
      </c>
      <c r="B25" s="334">
        <v>0</v>
      </c>
    </row>
    <row r="26" spans="1:6">
      <c r="A26" s="348" t="s">
        <v>16</v>
      </c>
      <c r="B26" s="334">
        <v>607</v>
      </c>
    </row>
    <row r="27" spans="1:6">
      <c r="A27" s="348" t="s">
        <v>17</v>
      </c>
      <c r="B27" s="334">
        <v>21</v>
      </c>
    </row>
    <row r="28" spans="1:6" s="356" customFormat="1">
      <c r="A28" s="355" t="s">
        <v>18</v>
      </c>
      <c r="B28" s="355">
        <v>7667</v>
      </c>
    </row>
    <row r="29" spans="1:6">
      <c r="A29" s="355" t="s">
        <v>744</v>
      </c>
      <c r="B29" s="355">
        <v>166</v>
      </c>
      <c r="C29" s="356"/>
      <c r="D29" s="356"/>
      <c r="E29" s="356"/>
      <c r="F29" s="356"/>
    </row>
    <row r="30" spans="1:6">
      <c r="A30" s="341" t="s">
        <v>745</v>
      </c>
      <c r="B30" s="341">
        <v>42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111986</v>
      </c>
      <c r="E36" s="334">
        <v>30</v>
      </c>
      <c r="F36" s="334">
        <v>11735284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9480</v>
      </c>
      <c r="D39" s="334">
        <v>136645584.05000001</v>
      </c>
      <c r="E39" s="334">
        <v>17730</v>
      </c>
      <c r="F39" s="334">
        <v>56438535.049999997</v>
      </c>
    </row>
    <row r="40" spans="1:6">
      <c r="A40" s="348" t="s">
        <v>30</v>
      </c>
      <c r="B40" s="348" t="s">
        <v>29</v>
      </c>
      <c r="C40" s="334">
        <v>0</v>
      </c>
      <c r="D40" s="334">
        <v>0</v>
      </c>
      <c r="E40" s="334">
        <v>0</v>
      </c>
      <c r="F40" s="334">
        <v>0</v>
      </c>
    </row>
    <row r="41" spans="1:6">
      <c r="A41" s="348" t="s">
        <v>32</v>
      </c>
      <c r="B41" s="348" t="s">
        <v>33</v>
      </c>
      <c r="C41" s="334">
        <v>136</v>
      </c>
      <c r="D41" s="334">
        <v>4206463.9000000004</v>
      </c>
      <c r="E41" s="334">
        <v>302</v>
      </c>
      <c r="F41" s="334">
        <v>11683096.25</v>
      </c>
    </row>
    <row r="42" spans="1:6">
      <c r="A42" s="348" t="s">
        <v>32</v>
      </c>
      <c r="B42" s="348" t="s">
        <v>34</v>
      </c>
      <c r="C42" s="334">
        <v>4</v>
      </c>
      <c r="D42" s="334">
        <v>990116</v>
      </c>
      <c r="E42" s="334">
        <v>5</v>
      </c>
      <c r="F42" s="334">
        <v>2423420</v>
      </c>
    </row>
    <row r="43" spans="1:6">
      <c r="A43" s="348" t="s">
        <v>32</v>
      </c>
      <c r="B43" s="348" t="s">
        <v>35</v>
      </c>
      <c r="C43" s="334">
        <v>0</v>
      </c>
      <c r="D43" s="334">
        <v>0</v>
      </c>
      <c r="E43" s="334">
        <v>0</v>
      </c>
      <c r="F43" s="334">
        <v>0</v>
      </c>
    </row>
    <row r="44" spans="1:6">
      <c r="A44" s="348" t="s">
        <v>32</v>
      </c>
      <c r="B44" s="348" t="s">
        <v>36</v>
      </c>
      <c r="C44" s="334">
        <v>22</v>
      </c>
      <c r="D44" s="334">
        <v>10311969</v>
      </c>
      <c r="E44" s="334">
        <v>46</v>
      </c>
      <c r="F44" s="334">
        <v>6846253</v>
      </c>
    </row>
    <row r="45" spans="1:6">
      <c r="A45" s="348" t="s">
        <v>32</v>
      </c>
      <c r="B45" s="348" t="s">
        <v>37</v>
      </c>
      <c r="C45" s="334">
        <v>0</v>
      </c>
      <c r="D45" s="334">
        <v>0</v>
      </c>
      <c r="E45" s="334">
        <v>5</v>
      </c>
      <c r="F45" s="334">
        <v>763372</v>
      </c>
    </row>
    <row r="46" spans="1:6">
      <c r="A46" s="348" t="s">
        <v>32</v>
      </c>
      <c r="B46" s="348" t="s">
        <v>38</v>
      </c>
      <c r="C46" s="334">
        <v>0</v>
      </c>
      <c r="D46" s="334">
        <v>0</v>
      </c>
      <c r="E46" s="334">
        <v>0</v>
      </c>
      <c r="F46" s="334">
        <v>0</v>
      </c>
    </row>
    <row r="47" spans="1:6">
      <c r="A47" s="348" t="s">
        <v>32</v>
      </c>
      <c r="B47" s="348" t="s">
        <v>39</v>
      </c>
      <c r="C47" s="334">
        <v>8</v>
      </c>
      <c r="D47" s="334">
        <v>13811619</v>
      </c>
      <c r="E47" s="334">
        <v>12</v>
      </c>
      <c r="F47" s="334">
        <v>10909390</v>
      </c>
    </row>
    <row r="48" spans="1:6">
      <c r="A48" s="348" t="s">
        <v>32</v>
      </c>
      <c r="B48" s="348" t="s">
        <v>29</v>
      </c>
      <c r="C48" s="334">
        <v>0</v>
      </c>
      <c r="D48" s="334">
        <v>0</v>
      </c>
      <c r="E48" s="334">
        <v>0</v>
      </c>
      <c r="F48" s="334">
        <v>0</v>
      </c>
    </row>
    <row r="49" spans="1:6">
      <c r="A49" s="348" t="s">
        <v>32</v>
      </c>
      <c r="B49" s="348" t="s">
        <v>40</v>
      </c>
      <c r="C49" s="334">
        <v>0</v>
      </c>
      <c r="D49" s="334">
        <v>0</v>
      </c>
      <c r="E49" s="334">
        <v>6</v>
      </c>
      <c r="F49" s="334">
        <v>163204</v>
      </c>
    </row>
    <row r="50" spans="1:6">
      <c r="A50" s="348" t="s">
        <v>32</v>
      </c>
      <c r="B50" s="348" t="s">
        <v>41</v>
      </c>
      <c r="C50" s="334">
        <v>8</v>
      </c>
      <c r="D50" s="334">
        <v>6605135</v>
      </c>
      <c r="E50" s="334">
        <v>28</v>
      </c>
      <c r="F50" s="334">
        <v>8575151.5500000007</v>
      </c>
    </row>
    <row r="51" spans="1:6">
      <c r="A51" s="348" t="s">
        <v>42</v>
      </c>
      <c r="B51" s="348" t="s">
        <v>43</v>
      </c>
      <c r="C51" s="334">
        <v>9</v>
      </c>
      <c r="D51" s="334">
        <v>434790</v>
      </c>
      <c r="E51" s="334">
        <v>45</v>
      </c>
      <c r="F51" s="334">
        <v>540668.55000000005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2021100</v>
      </c>
    </row>
    <row r="55" spans="1:6">
      <c r="A55" s="348" t="s">
        <v>46</v>
      </c>
      <c r="B55" s="348" t="s">
        <v>29</v>
      </c>
      <c r="C55" s="334">
        <v>0</v>
      </c>
      <c r="D55" s="334">
        <v>0</v>
      </c>
      <c r="E55" s="334">
        <v>0</v>
      </c>
      <c r="F55" s="334">
        <v>0</v>
      </c>
    </row>
    <row r="56" spans="1:6">
      <c r="A56" s="348" t="s">
        <v>48</v>
      </c>
      <c r="B56" s="348" t="s">
        <v>29</v>
      </c>
      <c r="C56" s="334">
        <v>6</v>
      </c>
      <c r="D56" s="334">
        <v>1656061</v>
      </c>
      <c r="E56" s="334">
        <v>17</v>
      </c>
      <c r="F56" s="334">
        <v>817479</v>
      </c>
    </row>
    <row r="57" spans="1:6">
      <c r="A57" s="348" t="s">
        <v>49</v>
      </c>
      <c r="B57" s="348" t="s">
        <v>50</v>
      </c>
      <c r="C57" s="334">
        <v>103</v>
      </c>
      <c r="D57" s="334">
        <v>5623599.3499999996</v>
      </c>
      <c r="E57" s="334">
        <v>212</v>
      </c>
      <c r="F57" s="334">
        <v>6127258.6000000006</v>
      </c>
    </row>
    <row r="58" spans="1:6">
      <c r="A58" s="348" t="s">
        <v>49</v>
      </c>
      <c r="B58" s="348" t="s">
        <v>51</v>
      </c>
      <c r="C58" s="334">
        <v>66</v>
      </c>
      <c r="D58" s="334">
        <v>4163230.05</v>
      </c>
      <c r="E58" s="334">
        <v>114</v>
      </c>
      <c r="F58" s="334">
        <v>3542143.55</v>
      </c>
    </row>
    <row r="59" spans="1:6">
      <c r="A59" s="348" t="s">
        <v>49</v>
      </c>
      <c r="B59" s="348" t="s">
        <v>52</v>
      </c>
      <c r="C59" s="334">
        <v>225</v>
      </c>
      <c r="D59" s="334">
        <v>8901978.1999999993</v>
      </c>
      <c r="E59" s="334">
        <v>423</v>
      </c>
      <c r="F59" s="334">
        <v>20011844.700000003</v>
      </c>
    </row>
    <row r="60" spans="1:6">
      <c r="A60" s="348" t="s">
        <v>49</v>
      </c>
      <c r="B60" s="348" t="s">
        <v>53</v>
      </c>
      <c r="C60" s="334">
        <v>81</v>
      </c>
      <c r="D60" s="334">
        <v>3846190</v>
      </c>
      <c r="E60" s="334">
        <v>130</v>
      </c>
      <c r="F60" s="334">
        <v>4927624</v>
      </c>
    </row>
    <row r="61" spans="1:6">
      <c r="A61" s="348" t="s">
        <v>49</v>
      </c>
      <c r="B61" s="348" t="s">
        <v>54</v>
      </c>
      <c r="C61" s="334">
        <v>221</v>
      </c>
      <c r="D61" s="334">
        <v>10632276.349999998</v>
      </c>
      <c r="E61" s="334">
        <v>585</v>
      </c>
      <c r="F61" s="334">
        <v>13655493.350000003</v>
      </c>
    </row>
    <row r="62" spans="1:6">
      <c r="A62" s="348" t="s">
        <v>49</v>
      </c>
      <c r="B62" s="348" t="s">
        <v>55</v>
      </c>
      <c r="C62" s="334">
        <v>23</v>
      </c>
      <c r="D62" s="334">
        <v>2086584</v>
      </c>
      <c r="E62" s="334">
        <v>38</v>
      </c>
      <c r="F62" s="334">
        <v>574465.1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190501</v>
      </c>
      <c r="E68" s="334">
        <v>12</v>
      </c>
      <c r="F68" s="334">
        <v>178112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92415541</v>
      </c>
      <c r="E73" s="476">
        <v>93831082.685087144</v>
      </c>
    </row>
    <row r="74" spans="1:6">
      <c r="A74" s="348" t="s">
        <v>64</v>
      </c>
      <c r="B74" s="348" t="s">
        <v>657</v>
      </c>
      <c r="C74" s="1213" t="s">
        <v>659</v>
      </c>
      <c r="D74" s="476">
        <v>4365477.1916611614</v>
      </c>
      <c r="E74" s="476">
        <v>4492211.8295661379</v>
      </c>
    </row>
    <row r="75" spans="1:6">
      <c r="A75" s="348" t="s">
        <v>65</v>
      </c>
      <c r="B75" s="348" t="s">
        <v>656</v>
      </c>
      <c r="C75" s="1213" t="s">
        <v>660</v>
      </c>
      <c r="D75" s="476">
        <v>84595855</v>
      </c>
      <c r="E75" s="476">
        <v>85904025.911779642</v>
      </c>
    </row>
    <row r="76" spans="1:6">
      <c r="A76" s="348" t="s">
        <v>65</v>
      </c>
      <c r="B76" s="348" t="s">
        <v>657</v>
      </c>
      <c r="C76" s="1213" t="s">
        <v>661</v>
      </c>
      <c r="D76" s="476">
        <v>2172819.1916611614</v>
      </c>
      <c r="E76" s="476">
        <v>2236330.2169188601</v>
      </c>
    </row>
    <row r="77" spans="1:6">
      <c r="A77" s="348" t="s">
        <v>66</v>
      </c>
      <c r="B77" s="348" t="s">
        <v>656</v>
      </c>
      <c r="C77" s="1213" t="s">
        <v>662</v>
      </c>
      <c r="D77" s="476">
        <v>97847541</v>
      </c>
      <c r="E77" s="476">
        <v>102297647.94146946</v>
      </c>
    </row>
    <row r="78" spans="1:6">
      <c r="A78" s="341" t="s">
        <v>66</v>
      </c>
      <c r="B78" s="341" t="s">
        <v>657</v>
      </c>
      <c r="C78" s="341" t="s">
        <v>663</v>
      </c>
      <c r="D78" s="1214">
        <v>18207777</v>
      </c>
      <c r="E78" s="1214">
        <v>18931303.395031542</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932661.61667767726</v>
      </c>
      <c r="C83" s="476">
        <v>953692.13412966602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35824.953768614359</v>
      </c>
    </row>
    <row r="91" spans="1:6">
      <c r="A91" s="348" t="s">
        <v>68</v>
      </c>
      <c r="B91" s="334">
        <v>12472.352576170249</v>
      </c>
    </row>
    <row r="92" spans="1:6">
      <c r="A92" s="341" t="s">
        <v>69</v>
      </c>
      <c r="B92" s="342">
        <v>6713.8188964956644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2269</v>
      </c>
    </row>
    <row r="98" spans="1:6">
      <c r="A98" s="348" t="s">
        <v>72</v>
      </c>
      <c r="B98" s="334">
        <v>9</v>
      </c>
    </row>
    <row r="99" spans="1:6">
      <c r="A99" s="348" t="s">
        <v>73</v>
      </c>
      <c r="B99" s="334">
        <v>57</v>
      </c>
    </row>
    <row r="100" spans="1:6">
      <c r="A100" s="348" t="s">
        <v>74</v>
      </c>
      <c r="B100" s="334">
        <v>465</v>
      </c>
    </row>
    <row r="101" spans="1:6">
      <c r="A101" s="348" t="s">
        <v>75</v>
      </c>
      <c r="B101" s="334">
        <v>121</v>
      </c>
    </row>
    <row r="102" spans="1:6">
      <c r="A102" s="348" t="s">
        <v>76</v>
      </c>
      <c r="B102" s="334">
        <v>138</v>
      </c>
    </row>
    <row r="103" spans="1:6">
      <c r="A103" s="348" t="s">
        <v>77</v>
      </c>
      <c r="B103" s="334">
        <v>299</v>
      </c>
    </row>
    <row r="104" spans="1:6">
      <c r="A104" s="348" t="s">
        <v>78</v>
      </c>
      <c r="B104" s="334">
        <v>10765</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52</v>
      </c>
      <c r="C123" s="334">
        <v>155</v>
      </c>
    </row>
    <row r="124" spans="1:6">
      <c r="A124" s="341" t="s">
        <v>89</v>
      </c>
      <c r="B124" s="334">
        <v>2</v>
      </c>
      <c r="C124" s="334">
        <v>7</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592</v>
      </c>
    </row>
    <row r="130" spans="1:6">
      <c r="A130" s="348" t="s">
        <v>295</v>
      </c>
      <c r="B130" s="334">
        <v>3</v>
      </c>
    </row>
    <row r="131" spans="1:6">
      <c r="A131" s="348" t="s">
        <v>296</v>
      </c>
      <c r="B131" s="334">
        <v>2</v>
      </c>
    </row>
    <row r="132" spans="1:6">
      <c r="A132" s="341" t="s">
        <v>297</v>
      </c>
      <c r="B132" s="342">
        <v>68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161783.50269272309</v>
      </c>
      <c r="C3" s="43" t="s">
        <v>170</v>
      </c>
      <c r="D3" s="43"/>
      <c r="E3" s="154"/>
      <c r="F3" s="43"/>
      <c r="G3" s="43"/>
      <c r="H3" s="43"/>
      <c r="I3" s="43"/>
      <c r="J3" s="43"/>
      <c r="K3" s="96"/>
    </row>
    <row r="4" spans="1:11">
      <c r="A4" s="383" t="s">
        <v>171</v>
      </c>
      <c r="B4" s="49">
        <f>IF(ISERROR('SEAP template'!B69),0,'SEAP template'!B69)</f>
        <v>55011.125241280271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0.14585353280171148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2021.1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2021.1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0.14585353280171148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294.78457514553907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56438.535049999999</v>
      </c>
      <c r="C5" s="17">
        <f>IF(ISERROR('Eigen informatie GS &amp; warmtenet'!B57),0,'Eigen informatie GS &amp; warmtenet'!B57)</f>
        <v>0</v>
      </c>
      <c r="D5" s="30">
        <f>(SUM(HH_hh_gas_kWh,HH_rest_gas_kWh)/1000)*0.902</f>
        <v>123254.31681310001</v>
      </c>
      <c r="E5" s="17">
        <f>B46*B57</f>
        <v>6985.8602038558192</v>
      </c>
      <c r="F5" s="17">
        <f>B51*B62</f>
        <v>110675.01422104989</v>
      </c>
      <c r="G5" s="18"/>
      <c r="H5" s="17"/>
      <c r="I5" s="17"/>
      <c r="J5" s="17">
        <f>B50*B61+C50*C61</f>
        <v>0</v>
      </c>
      <c r="K5" s="17"/>
      <c r="L5" s="17"/>
      <c r="M5" s="17"/>
      <c r="N5" s="17">
        <f>B48*B59+C48*C59</f>
        <v>50538.584432597112</v>
      </c>
      <c r="O5" s="17">
        <f>B69*B70*B71</f>
        <v>1178.7533333333333</v>
      </c>
      <c r="P5" s="17">
        <f>B77*B78*B79/1000-B77*B78*B79/1000/B80</f>
        <v>2326.1333333333332</v>
      </c>
    </row>
    <row r="6" spans="1:16">
      <c r="A6" s="16" t="s">
        <v>621</v>
      </c>
      <c r="B6" s="843">
        <f>kWh_PV_kleiner_dan_10kW</f>
        <v>12472.352576170249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68910.887626170253</v>
      </c>
      <c r="C8" s="21">
        <f>C5</f>
        <v>0</v>
      </c>
      <c r="D8" s="21">
        <f>D5</f>
        <v>123254.31681310001</v>
      </c>
      <c r="E8" s="21">
        <f>E5</f>
        <v>6985.8602038558192</v>
      </c>
      <c r="F8" s="21">
        <f>F5</f>
        <v>110675.01422104989</v>
      </c>
      <c r="G8" s="21"/>
      <c r="H8" s="21"/>
      <c r="I8" s="21"/>
      <c r="J8" s="21">
        <f>J5</f>
        <v>0</v>
      </c>
      <c r="K8" s="21"/>
      <c r="L8" s="21">
        <f>L5</f>
        <v>0</v>
      </c>
      <c r="M8" s="21">
        <f>M5</f>
        <v>0</v>
      </c>
      <c r="N8" s="21">
        <f>N5</f>
        <v>50538.584432597112</v>
      </c>
      <c r="O8" s="21">
        <f>O5</f>
        <v>1178.7533333333333</v>
      </c>
      <c r="P8" s="21">
        <f>P5</f>
        <v>2326.1333333333332</v>
      </c>
    </row>
    <row r="9" spans="1:16">
      <c r="B9" s="19"/>
      <c r="C9" s="19"/>
      <c r="D9" s="258"/>
      <c r="E9" s="19"/>
      <c r="F9" s="19"/>
      <c r="G9" s="19"/>
      <c r="H9" s="19"/>
      <c r="I9" s="19"/>
      <c r="J9" s="19"/>
      <c r="K9" s="19"/>
      <c r="L9" s="19"/>
      <c r="M9" s="19"/>
      <c r="N9" s="19"/>
      <c r="O9" s="19"/>
      <c r="P9" s="19"/>
    </row>
    <row r="10" spans="1:16">
      <c r="A10" s="24" t="s">
        <v>214</v>
      </c>
      <c r="B10" s="25">
        <f ca="1">'EF ele_warmte'!B12</f>
        <v>0.14585353280171148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10050.896408778677</v>
      </c>
      <c r="C12" s="23">
        <f ca="1">C10*C8</f>
        <v>0</v>
      </c>
      <c r="D12" s="23">
        <f>D8*D10</f>
        <v>24897.371996246206</v>
      </c>
      <c r="E12" s="23">
        <f>E10*E8</f>
        <v>1585.7902662752711</v>
      </c>
      <c r="F12" s="23">
        <f>F10*F8</f>
        <v>29550.228797020322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2269</v>
      </c>
      <c r="C18" s="166" t="s">
        <v>111</v>
      </c>
      <c r="D18" s="228"/>
      <c r="E18" s="15"/>
    </row>
    <row r="19" spans="1:7">
      <c r="A19" s="171" t="s">
        <v>72</v>
      </c>
      <c r="B19" s="37">
        <f>aantalw2001_ander</f>
        <v>9</v>
      </c>
      <c r="C19" s="166" t="s">
        <v>111</v>
      </c>
      <c r="D19" s="229"/>
      <c r="E19" s="15"/>
    </row>
    <row r="20" spans="1:7">
      <c r="A20" s="171" t="s">
        <v>73</v>
      </c>
      <c r="B20" s="37">
        <f>aantalw2001_propaan</f>
        <v>57</v>
      </c>
      <c r="C20" s="167">
        <f>IF(ISERROR(B20/SUM($B$20,$B$21,$B$22)*100),0,B20/SUM($B$20,$B$21,$B$22)*100)</f>
        <v>8.8646967340590983</v>
      </c>
      <c r="D20" s="229"/>
      <c r="E20" s="15"/>
    </row>
    <row r="21" spans="1:7">
      <c r="A21" s="171" t="s">
        <v>74</v>
      </c>
      <c r="B21" s="37">
        <f>aantalw2001_elektriciteit</f>
        <v>465</v>
      </c>
      <c r="C21" s="167">
        <f>IF(ISERROR(B21/SUM($B$20,$B$21,$B$22)*100),0,B21/SUM($B$20,$B$21,$B$22)*100)</f>
        <v>72.317262830482107</v>
      </c>
      <c r="D21" s="229"/>
      <c r="E21" s="15"/>
    </row>
    <row r="22" spans="1:7">
      <c r="A22" s="171" t="s">
        <v>75</v>
      </c>
      <c r="B22" s="37">
        <f>aantalw2001_hout</f>
        <v>121</v>
      </c>
      <c r="C22" s="167">
        <f>IF(ISERROR(B22/SUM($B$20,$B$21,$B$22)*100),0,B22/SUM($B$20,$B$21,$B$22)*100)</f>
        <v>18.818040435458787</v>
      </c>
      <c r="D22" s="229"/>
      <c r="E22" s="15"/>
    </row>
    <row r="23" spans="1:7">
      <c r="A23" s="171" t="s">
        <v>76</v>
      </c>
      <c r="B23" s="37">
        <f>aantalw2001_niet_gespec</f>
        <v>138</v>
      </c>
      <c r="C23" s="166" t="s">
        <v>111</v>
      </c>
      <c r="D23" s="228"/>
      <c r="E23" s="15"/>
    </row>
    <row r="24" spans="1:7">
      <c r="A24" s="171" t="s">
        <v>77</v>
      </c>
      <c r="B24" s="37">
        <f>aantalw2001_steenkool</f>
        <v>299</v>
      </c>
      <c r="C24" s="166" t="s">
        <v>111</v>
      </c>
      <c r="D24" s="229"/>
      <c r="E24" s="15"/>
    </row>
    <row r="25" spans="1:7">
      <c r="A25" s="171" t="s">
        <v>78</v>
      </c>
      <c r="B25" s="37">
        <f>aantalw2001_stookolie</f>
        <v>10765</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794</v>
      </c>
      <c r="B28" s="37">
        <f>aantalHuishoudens2011</f>
        <v>17599</v>
      </c>
      <c r="C28" s="36"/>
      <c r="D28" s="228"/>
    </row>
    <row r="29" spans="1:7" s="15" customFormat="1">
      <c r="A29" s="230" t="s">
        <v>795</v>
      </c>
      <c r="B29" s="37">
        <f>SUM(HH_hh_gas_aantal,HH_rest_gas_aantal)</f>
        <v>9480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9480</v>
      </c>
      <c r="C32" s="167">
        <f>IF(ISERROR(B32/SUM($B$32,$B$34,$B$35,$B$36,$B$38,$B$39)*100),0,B32/SUM($B$32,$B$34,$B$35,$B$36,$B$38,$B$39)*100)</f>
        <v>54.24271900211707</v>
      </c>
      <c r="D32" s="233"/>
      <c r="G32" s="15"/>
    </row>
    <row r="33" spans="1:7">
      <c r="A33" s="171" t="s">
        <v>72</v>
      </c>
      <c r="B33" s="34" t="s">
        <v>111</v>
      </c>
      <c r="C33" s="167"/>
      <c r="D33" s="233"/>
      <c r="G33" s="15"/>
    </row>
    <row r="34" spans="1:7">
      <c r="A34" s="171" t="s">
        <v>73</v>
      </c>
      <c r="B34" s="33">
        <f>IF((($B$28-$B$32-$B$39-$B$77-$B$38)*C20/100)&lt;0,0,($B$28-$B$32-$B$39-$B$77-$B$38)*C20/100)</f>
        <v>329.93514774494565</v>
      </c>
      <c r="C34" s="167">
        <f>IF(ISERROR(B34/SUM($B$32,$B$34,$B$35,$B$36,$B$38,$B$39)*100),0,B34/SUM($B$32,$B$34,$B$35,$B$36,$B$38,$B$39)*100)</f>
        <v>1.8878248426214204</v>
      </c>
      <c r="D34" s="233"/>
      <c r="G34" s="15"/>
    </row>
    <row r="35" spans="1:7">
      <c r="A35" s="171" t="s">
        <v>74</v>
      </c>
      <c r="B35" s="33">
        <f>IF((($B$28-$B$32-$B$39-$B$77-$B$38)*C21/100)&lt;0,0,($B$28-$B$32-$B$39-$B$77-$B$38)*C21/100)</f>
        <v>2691.5762052877135</v>
      </c>
      <c r="C35" s="167">
        <f>IF(ISERROR(B35/SUM($B$32,$B$34,$B$35,$B$36,$B$38,$B$39)*100),0,B35/SUM($B$32,$B$34,$B$35,$B$36,$B$38,$B$39)*100)</f>
        <v>15.400676347701056</v>
      </c>
      <c r="D35" s="233"/>
      <c r="G35" s="15"/>
    </row>
    <row r="36" spans="1:7">
      <c r="A36" s="171" t="s">
        <v>75</v>
      </c>
      <c r="B36" s="33">
        <f>IF((($B$28-$B$32-$B$39-$B$77-$B$38)*C22/100)&lt;0,0,($B$28-$B$32-$B$39-$B$77-$B$38)*C22/100)</f>
        <v>700.38864696734072</v>
      </c>
      <c r="C36" s="167">
        <f>IF(ISERROR(B36/SUM($B$32,$B$34,$B$35,$B$36,$B$38,$B$39)*100),0,B36/SUM($B$32,$B$34,$B$35,$B$36,$B$38,$B$39)*100)</f>
        <v>4.0074878238103837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4275.0999999999995</v>
      </c>
      <c r="C39" s="167">
        <f>IF(ISERROR(B39/SUM($B$32,$B$34,$B$35,$B$36,$B$38,$B$39)*100),0,B39/SUM($B$32,$B$34,$B$35,$B$36,$B$38,$B$39)*100)</f>
        <v>24.461291983750069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9480</v>
      </c>
      <c r="C44" s="34" t="s">
        <v>111</v>
      </c>
      <c r="D44" s="174"/>
    </row>
    <row r="45" spans="1:7">
      <c r="A45" s="171" t="s">
        <v>72</v>
      </c>
      <c r="B45" s="33" t="str">
        <f t="shared" si="0"/>
        <v>-</v>
      </c>
      <c r="C45" s="34" t="s">
        <v>111</v>
      </c>
      <c r="D45" s="174"/>
    </row>
    <row r="46" spans="1:7">
      <c r="A46" s="171" t="s">
        <v>73</v>
      </c>
      <c r="B46" s="33">
        <f t="shared" si="0"/>
        <v>329.93514774494565</v>
      </c>
      <c r="C46" s="34" t="s">
        <v>111</v>
      </c>
      <c r="D46" s="174"/>
    </row>
    <row r="47" spans="1:7">
      <c r="A47" s="171" t="s">
        <v>74</v>
      </c>
      <c r="B47" s="33">
        <f t="shared" si="0"/>
        <v>2691.5762052877135</v>
      </c>
      <c r="C47" s="34" t="s">
        <v>111</v>
      </c>
      <c r="D47" s="174"/>
    </row>
    <row r="48" spans="1:7">
      <c r="A48" s="171" t="s">
        <v>75</v>
      </c>
      <c r="B48" s="33">
        <f t="shared" si="0"/>
        <v>700.38864696734072</v>
      </c>
      <c r="C48" s="33">
        <f>B48*10</f>
        <v>7003.8864696734072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4275.0999999999995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754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48838.829300000005</v>
      </c>
      <c r="C5" s="17">
        <f>IF(ISERROR('Eigen informatie GS &amp; warmtenet'!B58),0,'Eigen informatie GS &amp; warmtenet'!B58)</f>
        <v>0</v>
      </c>
      <c r="D5" s="30">
        <f>SUM(D6:D12)</f>
        <v>31798.979870899999</v>
      </c>
      <c r="E5" s="17">
        <f>SUM(E6:E12)</f>
        <v>812.66848205749739</v>
      </c>
      <c r="F5" s="17">
        <f>SUM(F6:F12)</f>
        <v>8760.5376376682398</v>
      </c>
      <c r="G5" s="18"/>
      <c r="H5" s="17"/>
      <c r="I5" s="17"/>
      <c r="J5" s="17">
        <f>SUM(J6:J12)</f>
        <v>0.1329987660154773</v>
      </c>
      <c r="K5" s="17"/>
      <c r="L5" s="17"/>
      <c r="M5" s="17"/>
      <c r="N5" s="17">
        <f>SUM(N6:N12)</f>
        <v>5301.7219253204557</v>
      </c>
      <c r="O5" s="17">
        <f>B38*B39*B40</f>
        <v>4.6900000000000004</v>
      </c>
      <c r="P5" s="17">
        <f>B46*B47*B48/1000-B46*B47*B48/1000/B49</f>
        <v>38.133333333333333</v>
      </c>
      <c r="R5" s="32"/>
    </row>
    <row r="6" spans="1:18">
      <c r="A6" s="32" t="s">
        <v>54</v>
      </c>
      <c r="B6" s="37">
        <f>B26</f>
        <v>13655.493350000002</v>
      </c>
      <c r="C6" s="33"/>
      <c r="D6" s="37">
        <f>IF(ISERROR(TER_kantoor_gas_kWh/1000),0,TER_kantoor_gas_kWh/1000)*0.902</f>
        <v>9590.3132676999994</v>
      </c>
      <c r="E6" s="33">
        <f>$C$26*'E Balans VL '!I12/100/3.6*1000000</f>
        <v>8.5588090571864658E-2</v>
      </c>
      <c r="F6" s="33">
        <f>$C$26*('E Balans VL '!L12+'E Balans VL '!N12)/100/3.6*1000000</f>
        <v>2052.0390796289512</v>
      </c>
      <c r="G6" s="34"/>
      <c r="H6" s="33"/>
      <c r="I6" s="33"/>
      <c r="J6" s="33">
        <f>$C$26*('E Balans VL '!D12+'E Balans VL '!E12)/100/3.6*1000000</f>
        <v>0</v>
      </c>
      <c r="K6" s="33"/>
      <c r="L6" s="33"/>
      <c r="M6" s="33"/>
      <c r="N6" s="33">
        <f>$C$26*'E Balans VL '!Y12/100/3.6*1000000</f>
        <v>13.059454740192439</v>
      </c>
      <c r="O6" s="33"/>
      <c r="P6" s="33"/>
      <c r="R6" s="32"/>
    </row>
    <row r="7" spans="1:18">
      <c r="A7" s="32" t="s">
        <v>53</v>
      </c>
      <c r="B7" s="37">
        <f t="shared" ref="B7:B12" si="0">B27</f>
        <v>4927.6239999999998</v>
      </c>
      <c r="C7" s="33"/>
      <c r="D7" s="37">
        <f>IF(ISERROR(TER_horeca_gas_kWh/1000),0,TER_horeca_gas_kWh/1000)*0.902</f>
        <v>3469.2633800000003</v>
      </c>
      <c r="E7" s="33">
        <f>$C$27*'E Balans VL '!I9/100/3.6*1000000</f>
        <v>70.562754894528013</v>
      </c>
      <c r="F7" s="33">
        <f>$C$27*('E Balans VL '!L9+'E Balans VL '!N9)/100/3.6*1000000</f>
        <v>623.99971770071659</v>
      </c>
      <c r="G7" s="34"/>
      <c r="H7" s="33"/>
      <c r="I7" s="33"/>
      <c r="J7" s="33">
        <f>$C$27*('E Balans VL '!D9+'E Balans VL '!E9)/100/3.6*1000000</f>
        <v>0</v>
      </c>
      <c r="K7" s="33"/>
      <c r="L7" s="33"/>
      <c r="M7" s="33"/>
      <c r="N7" s="33">
        <f>$C$27*'E Balans VL '!Y9/100/3.6*1000000</f>
        <v>1.416583255216832</v>
      </c>
      <c r="O7" s="33"/>
      <c r="P7" s="33"/>
      <c r="R7" s="32"/>
    </row>
    <row r="8" spans="1:18">
      <c r="A8" s="6" t="s">
        <v>52</v>
      </c>
      <c r="B8" s="37">
        <f t="shared" si="0"/>
        <v>20011.844700000001</v>
      </c>
      <c r="C8" s="33"/>
      <c r="D8" s="37">
        <f>IF(ISERROR(TER_handel_gas_kWh/1000),0,TER_handel_gas_kWh/1000)*0.902</f>
        <v>8029.5843364000002</v>
      </c>
      <c r="E8" s="33">
        <f>$C$28*'E Balans VL '!I13/100/3.6*1000000</f>
        <v>725.82713951887069</v>
      </c>
      <c r="F8" s="33">
        <f>$C$28*('E Balans VL '!L13+'E Balans VL '!N13)/100/3.6*1000000</f>
        <v>3854.4839220305798</v>
      </c>
      <c r="G8" s="34"/>
      <c r="H8" s="33"/>
      <c r="I8" s="33"/>
      <c r="J8" s="33">
        <f>$C$28*('E Balans VL '!D13+'E Balans VL '!E13)/100/3.6*1000000</f>
        <v>0</v>
      </c>
      <c r="K8" s="33"/>
      <c r="L8" s="33"/>
      <c r="M8" s="33"/>
      <c r="N8" s="33">
        <f>$C$28*'E Balans VL '!Y13/100/3.6*1000000</f>
        <v>27.721009429610028</v>
      </c>
      <c r="O8" s="33"/>
      <c r="P8" s="33"/>
      <c r="R8" s="32"/>
    </row>
    <row r="9" spans="1:18">
      <c r="A9" s="32" t="s">
        <v>51</v>
      </c>
      <c r="B9" s="37">
        <f t="shared" si="0"/>
        <v>3542.1435499999998</v>
      </c>
      <c r="C9" s="33"/>
      <c r="D9" s="37">
        <f>IF(ISERROR(TER_gezond_gas_kWh/1000),0,TER_gezond_gas_kWh/1000)*0.902</f>
        <v>3755.2335051</v>
      </c>
      <c r="E9" s="33">
        <f>$C$29*'E Balans VL '!I10/100/3.6*1000000</f>
        <v>0.22177315857943594</v>
      </c>
      <c r="F9" s="33">
        <f>$C$29*('E Balans VL '!L10+'E Balans VL '!N10)/100/3.6*1000000</f>
        <v>526.1962091525196</v>
      </c>
      <c r="G9" s="34"/>
      <c r="H9" s="33"/>
      <c r="I9" s="33"/>
      <c r="J9" s="33">
        <f>$C$29*('E Balans VL '!D10+'E Balans VL '!E10)/100/3.6*1000000</f>
        <v>0</v>
      </c>
      <c r="K9" s="33"/>
      <c r="L9" s="33"/>
      <c r="M9" s="33"/>
      <c r="N9" s="33">
        <f>$C$29*'E Balans VL '!Y10/100/3.6*1000000</f>
        <v>54.790218219036504</v>
      </c>
      <c r="O9" s="33"/>
      <c r="P9" s="33"/>
      <c r="R9" s="32"/>
    </row>
    <row r="10" spans="1:18">
      <c r="A10" s="32" t="s">
        <v>50</v>
      </c>
      <c r="B10" s="37">
        <f t="shared" si="0"/>
        <v>6127.2586000000001</v>
      </c>
      <c r="C10" s="33"/>
      <c r="D10" s="37">
        <f>IF(ISERROR(TER_ander_gas_kWh/1000),0,TER_ander_gas_kWh/1000)*0.902</f>
        <v>5072.4866136999999</v>
      </c>
      <c r="E10" s="33">
        <f>$C$30*'E Balans VL '!I14/100/3.6*1000000</f>
        <v>7.3034732999738923</v>
      </c>
      <c r="F10" s="33">
        <f>$C$30*('E Balans VL '!L14+'E Balans VL '!N14)/100/3.6*1000000</f>
        <v>1603.1632462824771</v>
      </c>
      <c r="G10" s="34"/>
      <c r="H10" s="33"/>
      <c r="I10" s="33"/>
      <c r="J10" s="33">
        <f>$C$30*('E Balans VL '!D14+'E Balans VL '!E14)/100/3.6*1000000</f>
        <v>0.1329987660154773</v>
      </c>
      <c r="K10" s="33"/>
      <c r="L10" s="33"/>
      <c r="M10" s="33"/>
      <c r="N10" s="33">
        <f>$C$30*'E Balans VL '!Y14/100/3.6*1000000</f>
        <v>5203.1180712124997</v>
      </c>
      <c r="O10" s="33"/>
      <c r="P10" s="33"/>
      <c r="R10" s="32"/>
    </row>
    <row r="11" spans="1:18">
      <c r="A11" s="32" t="s">
        <v>55</v>
      </c>
      <c r="B11" s="37">
        <f t="shared" si="0"/>
        <v>574.46510000000001</v>
      </c>
      <c r="C11" s="33"/>
      <c r="D11" s="37">
        <f>IF(ISERROR(TER_onderwijs_gas_kWh/1000),0,TER_onderwijs_gas_kWh/1000)*0.902</f>
        <v>1882.0987679999998</v>
      </c>
      <c r="E11" s="33">
        <f>$C$31*'E Balans VL '!I11/100/3.6*1000000</f>
        <v>8.6677530949733779</v>
      </c>
      <c r="F11" s="33">
        <f>$C$31*('E Balans VL '!L11+'E Balans VL '!N11)/100/3.6*1000000</f>
        <v>100.6554628729957</v>
      </c>
      <c r="G11" s="34"/>
      <c r="H11" s="33"/>
      <c r="I11" s="33"/>
      <c r="J11" s="33">
        <f>$C$31*('E Balans VL '!D11+'E Balans VL '!E11)/100/3.6*1000000</f>
        <v>0</v>
      </c>
      <c r="K11" s="33"/>
      <c r="L11" s="33"/>
      <c r="M11" s="33"/>
      <c r="N11" s="33">
        <f>$C$31*'E Balans VL '!Y11/100/3.6*1000000</f>
        <v>1.6165884639000327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48838.829300000005</v>
      </c>
      <c r="C16" s="21">
        <f t="shared" ca="1" si="1"/>
        <v>0</v>
      </c>
      <c r="D16" s="21">
        <f t="shared" ca="1" si="1"/>
        <v>31798.979870899999</v>
      </c>
      <c r="E16" s="21">
        <f t="shared" si="1"/>
        <v>812.66848205749739</v>
      </c>
      <c r="F16" s="21">
        <f t="shared" ca="1" si="1"/>
        <v>8760.5376376682398</v>
      </c>
      <c r="G16" s="21">
        <f t="shared" si="1"/>
        <v>0</v>
      </c>
      <c r="H16" s="21">
        <f t="shared" si="1"/>
        <v>0</v>
      </c>
      <c r="I16" s="21">
        <f t="shared" si="1"/>
        <v>0</v>
      </c>
      <c r="J16" s="21">
        <f t="shared" si="1"/>
        <v>0.1329987660154773</v>
      </c>
      <c r="K16" s="21">
        <f t="shared" si="1"/>
        <v>0</v>
      </c>
      <c r="L16" s="21">
        <f t="shared" ca="1" si="1"/>
        <v>0</v>
      </c>
      <c r="M16" s="21">
        <f t="shared" si="1"/>
        <v>0</v>
      </c>
      <c r="N16" s="21">
        <f t="shared" ca="1" si="1"/>
        <v>5301.7219253204557</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0.14585353280171148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7123.3157913047389</v>
      </c>
      <c r="C20" s="23">
        <f t="shared" ref="C20:P20" ca="1" si="2">C16*C18</f>
        <v>0</v>
      </c>
      <c r="D20" s="23">
        <f t="shared" ca="1" si="2"/>
        <v>6423.3939339218005</v>
      </c>
      <c r="E20" s="23">
        <f t="shared" si="2"/>
        <v>184.47574542705192</v>
      </c>
      <c r="F20" s="23">
        <f t="shared" ca="1" si="2"/>
        <v>2339.0635492574202</v>
      </c>
      <c r="G20" s="23">
        <f t="shared" si="2"/>
        <v>0</v>
      </c>
      <c r="H20" s="23">
        <f t="shared" si="2"/>
        <v>0</v>
      </c>
      <c r="I20" s="23">
        <f t="shared" si="2"/>
        <v>0</v>
      </c>
      <c r="J20" s="23">
        <f t="shared" si="2"/>
        <v>4.7081563169478965E-2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13655.493350000002</v>
      </c>
      <c r="C26" s="39">
        <f>IF(ISERROR(B26*3.6/1000000/'E Balans VL '!Z12*100),0,B26*3.6/1000000/'E Balans VL '!Z12*100)</f>
        <v>0.28865549737020341</v>
      </c>
      <c r="D26" s="237" t="s">
        <v>754</v>
      </c>
      <c r="F26" s="6"/>
    </row>
    <row r="27" spans="1:18">
      <c r="A27" s="231" t="s">
        <v>53</v>
      </c>
      <c r="B27" s="33">
        <f>IF(ISERROR(TER_horeca_ele_kWh/1000),0,TER_horeca_ele_kWh/1000)</f>
        <v>4927.6239999999998</v>
      </c>
      <c r="C27" s="39">
        <f>IF(ISERROR(B27*3.6/1000000/'E Balans VL '!Z9*100),0,B27*3.6/1000000/'E Balans VL '!Z9*100)</f>
        <v>0.38844276330077243</v>
      </c>
      <c r="D27" s="237" t="s">
        <v>754</v>
      </c>
      <c r="F27" s="6"/>
    </row>
    <row r="28" spans="1:18">
      <c r="A28" s="171" t="s">
        <v>52</v>
      </c>
      <c r="B28" s="33">
        <f>IF(ISERROR(TER_handel_ele_kWh/1000),0,TER_handel_ele_kWh/1000)</f>
        <v>20011.844700000001</v>
      </c>
      <c r="C28" s="39">
        <f>IF(ISERROR(B28*3.6/1000000/'E Balans VL '!Z13*100),0,B28*3.6/1000000/'E Balans VL '!Z13*100)</f>
        <v>0.58082459010709875</v>
      </c>
      <c r="D28" s="237" t="s">
        <v>754</v>
      </c>
      <c r="F28" s="6"/>
    </row>
    <row r="29" spans="1:18">
      <c r="A29" s="231" t="s">
        <v>51</v>
      </c>
      <c r="B29" s="33">
        <f>IF(ISERROR(TER_gezond_ele_kWh/1000),0,TER_gezond_ele_kWh/1000)</f>
        <v>3542.1435499999998</v>
      </c>
      <c r="C29" s="39">
        <f>IF(ISERROR(B29*3.6/1000000/'E Balans VL '!Z10*100),0,B29*3.6/1000000/'E Balans VL '!Z10*100)</f>
        <v>0.37304587934738337</v>
      </c>
      <c r="D29" s="237" t="s">
        <v>754</v>
      </c>
      <c r="F29" s="6"/>
    </row>
    <row r="30" spans="1:18">
      <c r="A30" s="231" t="s">
        <v>50</v>
      </c>
      <c r="B30" s="33">
        <f>IF(ISERROR(TER_ander_ele_kWh/1000),0,TER_ander_ele_kWh/1000)</f>
        <v>6127.2586000000001</v>
      </c>
      <c r="C30" s="39">
        <f>IF(ISERROR(B30*3.6/1000000/'E Balans VL '!Z14*100),0,B30*3.6/1000000/'E Balans VL '!Z14*100)</f>
        <v>0.45194792516994786</v>
      </c>
      <c r="D30" s="237" t="s">
        <v>754</v>
      </c>
      <c r="F30" s="6"/>
    </row>
    <row r="31" spans="1:18">
      <c r="A31" s="231" t="s">
        <v>55</v>
      </c>
      <c r="B31" s="33">
        <f>IF(ISERROR(TER_onderwijs_ele_kWh/1000),0,TER_onderwijs_ele_kWh/1000)</f>
        <v>574.46510000000001</v>
      </c>
      <c r="C31" s="39">
        <f>IF(ISERROR(B31*3.6/1000000/'E Balans VL '!Z11*100),0,B31*3.6/1000000/'E Balans VL '!Z11*100)</f>
        <v>0.14266659386004166</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41363.8868</v>
      </c>
      <c r="C5" s="17">
        <f>IF(ISERROR('Eigen informatie GS &amp; warmtenet'!B59),0,'Eigen informatie GS &amp; warmtenet'!B59)</f>
        <v>0</v>
      </c>
      <c r="D5" s="30">
        <f>SUM(D6:D15)</f>
        <v>32404.623215799998</v>
      </c>
      <c r="E5" s="17">
        <f>SUM(E6:E15)</f>
        <v>3540.3374350726071</v>
      </c>
      <c r="F5" s="17">
        <f>SUM(F6:F15)</f>
        <v>11146.652761446423</v>
      </c>
      <c r="G5" s="18"/>
      <c r="H5" s="17"/>
      <c r="I5" s="17"/>
      <c r="J5" s="17">
        <f>SUM(J6:J15)</f>
        <v>2.9416898218156238</v>
      </c>
      <c r="K5" s="17"/>
      <c r="L5" s="17"/>
      <c r="M5" s="17"/>
      <c r="N5" s="17">
        <f>SUM(N6:N15)</f>
        <v>36490.970532377549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6846.2529999999997</v>
      </c>
      <c r="C8" s="33"/>
      <c r="D8" s="37">
        <f>IF( ISERROR(IND_metaal_Gas_kWH/1000),0,IND_metaal_Gas_kWH/1000)*0.902</f>
        <v>9301.396037999999</v>
      </c>
      <c r="E8" s="33">
        <f>C30*'E Balans VL '!I18/100/3.6*1000000</f>
        <v>62.944684160970631</v>
      </c>
      <c r="F8" s="33">
        <f>C30*'E Balans VL '!L18/100/3.6*1000000+C30*'E Balans VL '!N18/100/3.6*1000000</f>
        <v>641.9505965650211</v>
      </c>
      <c r="G8" s="34"/>
      <c r="H8" s="33"/>
      <c r="I8" s="33"/>
      <c r="J8" s="40">
        <f>C30*'E Balans VL '!D18/100/3.6*1000000+C30*'E Balans VL '!E18/100/3.6*1000000</f>
        <v>0</v>
      </c>
      <c r="K8" s="33"/>
      <c r="L8" s="33"/>
      <c r="M8" s="33"/>
      <c r="N8" s="33">
        <f>C30*'E Balans VL '!Y18/100/3.6*1000000</f>
        <v>97.673112954523077</v>
      </c>
      <c r="O8" s="33"/>
      <c r="P8" s="33"/>
      <c r="R8" s="32"/>
    </row>
    <row r="9" spans="1:18">
      <c r="A9" s="6" t="s">
        <v>33</v>
      </c>
      <c r="B9" s="37">
        <f t="shared" si="0"/>
        <v>11683.096250000001</v>
      </c>
      <c r="C9" s="33"/>
      <c r="D9" s="37">
        <f>IF( ISERROR(IND_andere_gas_kWh/1000),0,IND_andere_gas_kWh/1000)*0.902</f>
        <v>3794.2304378000008</v>
      </c>
      <c r="E9" s="33">
        <f>C31*'E Balans VL '!I19/100/3.6*1000000</f>
        <v>3415.1964769322344</v>
      </c>
      <c r="F9" s="33">
        <f>C31*'E Balans VL '!L19/100/3.6*1000000+C31*'E Balans VL '!N19/100/3.6*1000000</f>
        <v>9388.252166003731</v>
      </c>
      <c r="G9" s="34"/>
      <c r="H9" s="33"/>
      <c r="I9" s="33"/>
      <c r="J9" s="40">
        <f>C31*'E Balans VL '!D19/100/3.6*1000000+C31*'E Balans VL '!E19/100/3.6*1000000</f>
        <v>0</v>
      </c>
      <c r="K9" s="33"/>
      <c r="L9" s="33"/>
      <c r="M9" s="33"/>
      <c r="N9" s="33">
        <f>C31*'E Balans VL '!Y19/100/3.6*1000000</f>
        <v>3860.2761929763165</v>
      </c>
      <c r="O9" s="33"/>
      <c r="P9" s="33"/>
      <c r="R9" s="32"/>
    </row>
    <row r="10" spans="1:18">
      <c r="A10" s="6" t="s">
        <v>41</v>
      </c>
      <c r="B10" s="37">
        <f t="shared" si="0"/>
        <v>8575.1515500000005</v>
      </c>
      <c r="C10" s="33"/>
      <c r="D10" s="37">
        <f>IF( ISERROR(IND_voed_gas_kWh/1000),0,IND_voed_gas_kWh/1000)*0.902</f>
        <v>5957.8317700000007</v>
      </c>
      <c r="E10" s="33">
        <f>C32*'E Balans VL '!I20/100/3.6*1000000</f>
        <v>18.140866063324538</v>
      </c>
      <c r="F10" s="33">
        <f>C32*'E Balans VL '!L20/100/3.6*1000000+C32*'E Balans VL '!N20/100/3.6*1000000</f>
        <v>545.21689480944701</v>
      </c>
      <c r="G10" s="34"/>
      <c r="H10" s="33"/>
      <c r="I10" s="33"/>
      <c r="J10" s="40">
        <f>C32*'E Balans VL '!D20/100/3.6*1000000+C32*'E Balans VL '!E20/100/3.6*1000000</f>
        <v>0</v>
      </c>
      <c r="K10" s="33"/>
      <c r="L10" s="33"/>
      <c r="M10" s="33"/>
      <c r="N10" s="33">
        <f>C32*'E Balans VL '!Y20/100/3.6*1000000</f>
        <v>591.77007861319044</v>
      </c>
      <c r="O10" s="33"/>
      <c r="P10" s="33"/>
      <c r="R10" s="32"/>
    </row>
    <row r="11" spans="1:18">
      <c r="A11" s="6" t="s">
        <v>40</v>
      </c>
      <c r="B11" s="37">
        <f t="shared" si="0"/>
        <v>163.20400000000001</v>
      </c>
      <c r="C11" s="33"/>
      <c r="D11" s="37">
        <f>IF( ISERROR(IND_textiel_gas_kWh/1000),0,IND_textiel_gas_kWh/1000)*0.902</f>
        <v>0</v>
      </c>
      <c r="E11" s="33">
        <f>C33*'E Balans VL '!I21/100/3.6*1000000</f>
        <v>0.48470180911017591</v>
      </c>
      <c r="F11" s="33">
        <f>C33*'E Balans VL '!L21/100/3.6*1000000+C33*'E Balans VL '!N21/100/3.6*1000000</f>
        <v>16.488084621647694</v>
      </c>
      <c r="G11" s="34"/>
      <c r="H11" s="33"/>
      <c r="I11" s="33"/>
      <c r="J11" s="40">
        <f>C33*'E Balans VL '!D21/100/3.6*1000000+C33*'E Balans VL '!E21/100/3.6*1000000</f>
        <v>0</v>
      </c>
      <c r="K11" s="33"/>
      <c r="L11" s="33"/>
      <c r="M11" s="33"/>
      <c r="N11" s="33">
        <f>C33*'E Balans VL '!Y21/100/3.6*1000000</f>
        <v>9.001221441779224</v>
      </c>
      <c r="O11" s="33"/>
      <c r="P11" s="33"/>
      <c r="R11" s="32"/>
    </row>
    <row r="12" spans="1:18">
      <c r="A12" s="6" t="s">
        <v>37</v>
      </c>
      <c r="B12" s="37">
        <f t="shared" si="0"/>
        <v>763.37199999999996</v>
      </c>
      <c r="C12" s="33"/>
      <c r="D12" s="37">
        <f>IF( ISERROR(IND_min_gas_kWh/1000),0,IND_min_gas_kWh/1000)*0.902</f>
        <v>0</v>
      </c>
      <c r="E12" s="33">
        <f>C34*'E Balans VL '!I22/100/3.6*1000000</f>
        <v>22.127010970496968</v>
      </c>
      <c r="F12" s="33">
        <f>C34*'E Balans VL '!L22/100/3.6*1000000+C34*'E Balans VL '!N22/100/3.6*1000000</f>
        <v>262.45591989585506</v>
      </c>
      <c r="G12" s="34"/>
      <c r="H12" s="33"/>
      <c r="I12" s="33"/>
      <c r="J12" s="40">
        <f>C34*'E Balans VL '!D22/100/3.6*1000000+C34*'E Balans VL '!E22/100/3.6*1000000</f>
        <v>1.2544502347208704</v>
      </c>
      <c r="K12" s="33"/>
      <c r="L12" s="33"/>
      <c r="M12" s="33"/>
      <c r="N12" s="33">
        <f>C34*'E Balans VL '!Y22/100/3.6*1000000</f>
        <v>167.11467551443448</v>
      </c>
      <c r="O12" s="33"/>
      <c r="P12" s="33"/>
      <c r="R12" s="32"/>
    </row>
    <row r="13" spans="1:18">
      <c r="A13" s="6" t="s">
        <v>39</v>
      </c>
      <c r="B13" s="37">
        <f t="shared" si="0"/>
        <v>10909.39</v>
      </c>
      <c r="C13" s="33"/>
      <c r="D13" s="37">
        <f>IF( ISERROR(IND_papier_gas_kWh/1000),0,IND_papier_gas_kWh/1000)*0.902</f>
        <v>12458.080338000002</v>
      </c>
      <c r="E13" s="33">
        <f>C35*'E Balans VL '!I23/100/3.6*1000000</f>
        <v>15.477929451875312</v>
      </c>
      <c r="F13" s="33">
        <f>C35*'E Balans VL '!L23/100/3.6*1000000+C35*'E Balans VL '!N23/100/3.6*1000000</f>
        <v>266.33923185126611</v>
      </c>
      <c r="G13" s="34"/>
      <c r="H13" s="33"/>
      <c r="I13" s="33"/>
      <c r="J13" s="40">
        <f>C35*'E Balans VL '!D23/100/3.6*1000000+C35*'E Balans VL '!E23/100/3.6*1000000</f>
        <v>1.6872395870947532</v>
      </c>
      <c r="K13" s="33"/>
      <c r="L13" s="33"/>
      <c r="M13" s="33"/>
      <c r="N13" s="33">
        <f>C35*'E Balans VL '!Y23/100/3.6*1000000</f>
        <v>31711.01430000877</v>
      </c>
      <c r="O13" s="33"/>
      <c r="P13" s="33"/>
      <c r="R13" s="32"/>
    </row>
    <row r="14" spans="1:18">
      <c r="A14" s="6" t="s">
        <v>34</v>
      </c>
      <c r="B14" s="37">
        <f t="shared" si="0"/>
        <v>2423.42</v>
      </c>
      <c r="C14" s="33"/>
      <c r="D14" s="37">
        <f>IF( ISERROR(IND_chemie_gas_kWh/1000),0,IND_chemie_gas_kWh/1000)*0.902</f>
        <v>893.08463200000006</v>
      </c>
      <c r="E14" s="33">
        <f>C36*'E Balans VL '!I24/100/3.6*1000000</f>
        <v>5.9657656845952749</v>
      </c>
      <c r="F14" s="33">
        <f>C36*'E Balans VL '!L24/100/3.6*1000000+C36*'E Balans VL '!N24/100/3.6*1000000</f>
        <v>25.949867699453748</v>
      </c>
      <c r="G14" s="34"/>
      <c r="H14" s="33"/>
      <c r="I14" s="33"/>
      <c r="J14" s="40">
        <f>C36*'E Balans VL '!D24/100/3.6*1000000+C36*'E Balans VL '!E24/100/3.6*1000000</f>
        <v>0</v>
      </c>
      <c r="K14" s="33"/>
      <c r="L14" s="33"/>
      <c r="M14" s="33"/>
      <c r="N14" s="33">
        <f>C36*'E Balans VL '!Y24/100/3.6*1000000</f>
        <v>54.120950868535118</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41363.8868</v>
      </c>
      <c r="C18" s="21">
        <f>C5+C16</f>
        <v>0</v>
      </c>
      <c r="D18" s="21">
        <f>MAX((D5+D16),0)</f>
        <v>32404.623215799998</v>
      </c>
      <c r="E18" s="21">
        <f>MAX((E5+E16),0)</f>
        <v>3540.3374350726071</v>
      </c>
      <c r="F18" s="21">
        <f>MAX((F5+F16),0)</f>
        <v>11146.652761446423</v>
      </c>
      <c r="G18" s="21"/>
      <c r="H18" s="21"/>
      <c r="I18" s="21"/>
      <c r="J18" s="21">
        <f>MAX((J5+J16),0)</f>
        <v>2.9416898218156238</v>
      </c>
      <c r="K18" s="21"/>
      <c r="L18" s="21">
        <f>MAX((L5+L16),0)</f>
        <v>0</v>
      </c>
      <c r="M18" s="21"/>
      <c r="N18" s="21">
        <f>MAX((N5+N16),0)</f>
        <v>36490.970532377549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0.14585353280171148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6033.0690201900807</v>
      </c>
      <c r="C22" s="23">
        <f ca="1">C18*C20</f>
        <v>0</v>
      </c>
      <c r="D22" s="23">
        <f>D18*D20</f>
        <v>6545.7338895916</v>
      </c>
      <c r="E22" s="23">
        <f>E18*E20</f>
        <v>803.65659776148186</v>
      </c>
      <c r="F22" s="23">
        <f>F18*F20</f>
        <v>2976.1562873061953</v>
      </c>
      <c r="G22" s="23"/>
      <c r="H22" s="23"/>
      <c r="I22" s="23"/>
      <c r="J22" s="23">
        <f>J18*J20</f>
        <v>1.0413581969227308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6846.2529999999997</v>
      </c>
      <c r="C30" s="39">
        <f>IF(ISERROR(B30*3.6/1000000/'E Balans VL '!Z18*100),0,B30*3.6/1000000/'E Balans VL '!Z18*100)</f>
        <v>0.38799471245087008</v>
      </c>
      <c r="D30" s="237" t="s">
        <v>754</v>
      </c>
    </row>
    <row r="31" spans="1:18">
      <c r="A31" s="6" t="s">
        <v>33</v>
      </c>
      <c r="B31" s="37">
        <f>IF( ISERROR(IND_ander_ele_kWh/1000),0,IND_ander_ele_kWh/1000)</f>
        <v>11683.096250000001</v>
      </c>
      <c r="C31" s="39">
        <f>IF(ISERROR(B31*3.6/1000000/'E Balans VL '!Z19*100),0,B31*3.6/1000000/'E Balans VL '!Z19*100)</f>
        <v>0.52989659833391112</v>
      </c>
      <c r="D31" s="237" t="s">
        <v>754</v>
      </c>
    </row>
    <row r="32" spans="1:18">
      <c r="A32" s="171" t="s">
        <v>41</v>
      </c>
      <c r="B32" s="37">
        <f>IF( ISERROR(IND_voed_ele_kWh/1000),0,IND_voed_ele_kWh/1000)</f>
        <v>8575.1515500000005</v>
      </c>
      <c r="C32" s="39">
        <f>IF(ISERROR(B32*3.6/1000000/'E Balans VL '!Z20*100),0,B32*3.6/1000000/'E Balans VL '!Z20*100)</f>
        <v>0.26526836534264048</v>
      </c>
      <c r="D32" s="237" t="s">
        <v>754</v>
      </c>
    </row>
    <row r="33" spans="1:5">
      <c r="A33" s="171" t="s">
        <v>40</v>
      </c>
      <c r="B33" s="37">
        <f>IF( ISERROR(IND_textiel_ele_kWh/1000),0,IND_textiel_ele_kWh/1000)</f>
        <v>163.20400000000001</v>
      </c>
      <c r="C33" s="39">
        <f>IF(ISERROR(B33*3.6/1000000/'E Balans VL '!Z21*100),0,B33*3.6/1000000/'E Balans VL '!Z21*100)</f>
        <v>2.1279987495165534E-2</v>
      </c>
      <c r="D33" s="237" t="s">
        <v>754</v>
      </c>
    </row>
    <row r="34" spans="1:5">
      <c r="A34" s="171" t="s">
        <v>37</v>
      </c>
      <c r="B34" s="37">
        <f>IF( ISERROR(IND_min_ele_kWh/1000),0,IND_min_ele_kWh/1000)</f>
        <v>763.37199999999996</v>
      </c>
      <c r="C34" s="39">
        <f>IF(ISERROR(B34*3.6/1000000/'E Balans VL '!Z22*100),0,B34*3.6/1000000/'E Balans VL '!Z22*100)</f>
        <v>0.13730680586789759</v>
      </c>
      <c r="D34" s="237" t="s">
        <v>754</v>
      </c>
    </row>
    <row r="35" spans="1:5">
      <c r="A35" s="171" t="s">
        <v>39</v>
      </c>
      <c r="B35" s="37">
        <f>IF( ISERROR(IND_papier_ele_kWh/1000),0,IND_papier_ele_kWh/1000)</f>
        <v>10909.39</v>
      </c>
      <c r="C35" s="39">
        <f>IF(ISERROR(B35*3.6/1000000/'E Balans VL '!Z22*100),0,B35*3.6/1000000/'E Balans VL '!Z22*100)</f>
        <v>1.9622588919520016</v>
      </c>
      <c r="D35" s="237" t="s">
        <v>754</v>
      </c>
    </row>
    <row r="36" spans="1:5">
      <c r="A36" s="171" t="s">
        <v>34</v>
      </c>
      <c r="B36" s="37">
        <f>IF( ISERROR(IND_chemie_ele_kWh/1000),0,IND_chemie_ele_kWh/1000)</f>
        <v>2423.42</v>
      </c>
      <c r="C36" s="39">
        <f>IF(ISERROR(B36*3.6/1000000/'E Balans VL '!Z24*100),0,B36*3.6/1000000/'E Balans VL '!Z24*100)</f>
        <v>7.389982974523851E-2</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540.6685500000001</v>
      </c>
      <c r="C5" s="17">
        <f>'Eigen informatie GS &amp; warmtenet'!B60</f>
        <v>0</v>
      </c>
      <c r="D5" s="30">
        <f>IF(ISERROR(SUM(LB_lb_gas_kWh,LB_rest_gas_kWh,onbekend_gas_kWh)/1000),0,SUM(LB_lb_gas_kWh,LB_rest_gas_kWh,onbekend_gas_kWh)/1000)*0.902</f>
        <v>392.18058000000002</v>
      </c>
      <c r="E5" s="17">
        <f>B17*'E Balans VL '!I25/3.6*1000000/100</f>
        <v>15.89190007685788</v>
      </c>
      <c r="F5" s="17">
        <f>B17*('E Balans VL '!L25/3.6*1000000+'E Balans VL '!N25/3.6*1000000)/100</f>
        <v>2252.3959631050479</v>
      </c>
      <c r="G5" s="18"/>
      <c r="H5" s="17"/>
      <c r="I5" s="17"/>
      <c r="J5" s="17">
        <f>('E Balans VL '!D25+'E Balans VL '!E25)/3.6*1000000*landbouw!B17/100</f>
        <v>78.331261904979058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540.6685500000001</v>
      </c>
      <c r="C8" s="21">
        <f>C5+C6</f>
        <v>0</v>
      </c>
      <c r="D8" s="21">
        <f>MAX((D5+D6),0)</f>
        <v>392.18058000000002</v>
      </c>
      <c r="E8" s="21">
        <f>MAX((E5+E6),0)</f>
        <v>15.89190007685788</v>
      </c>
      <c r="F8" s="21">
        <f>MAX((F5+F6),0)</f>
        <v>2252.3959631050479</v>
      </c>
      <c r="G8" s="21"/>
      <c r="H8" s="21"/>
      <c r="I8" s="21"/>
      <c r="J8" s="21">
        <f>MAX((J5+J6),0)</f>
        <v>78.331261904979058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0.14585353280171148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78.858418092278797</v>
      </c>
      <c r="C12" s="23">
        <f ca="1">C8*C10</f>
        <v>0</v>
      </c>
      <c r="D12" s="23">
        <f>D8*D10</f>
        <v>79.220477160000016</v>
      </c>
      <c r="E12" s="23">
        <f>E8*E10</f>
        <v>3.6074613174467389</v>
      </c>
      <c r="F12" s="23">
        <f>F8*F10</f>
        <v>601.38972214904788</v>
      </c>
      <c r="G12" s="23"/>
      <c r="H12" s="23"/>
      <c r="I12" s="23"/>
      <c r="J12" s="23">
        <f>J8*J10</f>
        <v>27.729266714362584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7.6722563540843877E-2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69.033486120986581</v>
      </c>
      <c r="C26" s="247">
        <f>B26*'GWP N2O_CH4'!B5</f>
        <v>1449.7032085407182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17.196648634083644</v>
      </c>
      <c r="C27" s="247">
        <f>B27*'GWP N2O_CH4'!B5</f>
        <v>361.12962131575654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0.86996783621070117</v>
      </c>
      <c r="C28" s="247">
        <f>B28*'GWP N2O_CH4'!B4</f>
        <v>269.69002922531735</v>
      </c>
      <c r="D28" s="50"/>
    </row>
    <row r="29" spans="1:4">
      <c r="A29" s="41" t="s">
        <v>277</v>
      </c>
      <c r="B29" s="247">
        <f>B34*'ha_N2O bodem landbouw'!B4</f>
        <v>13.049826589848513</v>
      </c>
      <c r="C29" s="247">
        <f>B29*'GWP N2O_CH4'!B4</f>
        <v>4045.4462428530387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2.9779254561003421E-3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3.8926949959022951E-4</v>
      </c>
      <c r="C5" s="463" t="s">
        <v>211</v>
      </c>
      <c r="D5" s="448">
        <f>SUM(D6:D11)</f>
        <v>1.4663076682098369E-3</v>
      </c>
      <c r="E5" s="448">
        <f>SUM(E6:E11)</f>
        <v>2.08444239588563E-3</v>
      </c>
      <c r="F5" s="461" t="s">
        <v>211</v>
      </c>
      <c r="G5" s="448">
        <f>SUM(G6:G11)</f>
        <v>0.73390537686094315</v>
      </c>
      <c r="H5" s="448">
        <f>SUM(H6:H11)</f>
        <v>0.16683096536351352</v>
      </c>
      <c r="I5" s="463" t="s">
        <v>211</v>
      </c>
      <c r="J5" s="463" t="s">
        <v>211</v>
      </c>
      <c r="K5" s="463" t="s">
        <v>211</v>
      </c>
      <c r="L5" s="463" t="s">
        <v>211</v>
      </c>
      <c r="M5" s="448">
        <f>SUM(M6:M11)</f>
        <v>4.7830265077593331E-2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1.3088368816412303E-4</v>
      </c>
      <c r="C6" s="449"/>
      <c r="D6" s="962">
        <f>vkm_2011_GW_PW*SUMIFS(TableVerdeelsleutelVkm[CNG],TableVerdeelsleutelVkm[Voertuigtype],"Lichte voertuigen")*SUMIFS(TableECFTransport[EnergieConsumptieFactor (PJ per km)],TableECFTransport[Index],CONCATENATE($A6,"_CNG_CNG"))</f>
        <v>3.92575944088389E-4</v>
      </c>
      <c r="E6" s="962">
        <f>vkm_2011_GW_PW*SUMIFS(TableVerdeelsleutelVkm[LPG],TableVerdeelsleutelVkm[Voertuigtype],"Lichte voertuigen")*SUMIFS(TableECFTransport[EnergieConsumptieFactor (PJ per km)],TableECFTransport[Index],CONCATENATE($A6,"_LPG_LPG"))</f>
        <v>5.3631513038004399E-4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0.13866650764858479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4.4643186709906205E-2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9.426528586185659E-3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4.0965852257279167E-2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1.2483375534569196E-5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2.3939083787780447E-3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1.198090427864007E-4</v>
      </c>
      <c r="C8" s="449"/>
      <c r="D8" s="451">
        <f>vkm_2011_NGW_PW*SUMIFS(TableVerdeelsleutelVkm[CNG],TableVerdeelsleutelVkm[Voertuigtype],"Lichte voertuigen")*SUMIFS(TableECFTransport[EnergieConsumptieFactor (PJ per km)],TableECFTransport[Index],CONCATENATE($A8,"_CNG_CNG"))</f>
        <v>6.3894319725094637E-4</v>
      </c>
      <c r="E8" s="451">
        <f>vkm_2011_NGW_PW*SUMIFS(TableVerdeelsleutelVkm[LPG],TableVerdeelsleutelVkm[Voertuigtype],"Lichte voertuigen")*SUMIFS(TableECFTransport[EnergieConsumptieFactor (PJ per km)],TableECFTransport[Index],CONCATENATE($A8,"_LPG_LPG"))</f>
        <v>8.0839351123037078E-4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0.19477847092456291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7.0609338926741483E-2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1.3475438869820076E-2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2.614474636161554E-2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7.5002359463846135E-6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1.5277983149329663E-3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1.3857676863970577E-4</v>
      </c>
      <c r="C10" s="449"/>
      <c r="D10" s="451">
        <f>vkm_2011_SW_PW*SUMIFS(TableVerdeelsleutelVkm[CNG],TableVerdeelsleutelVkm[Voertuigtype],"Lichte voertuigen")*SUMIFS(TableECFTransport[EnergieConsumptieFactor (PJ per km)],TableECFTransport[Index],CONCATENATE($A10,"_CNG_CNG"))</f>
        <v>4.3478852687050141E-4</v>
      </c>
      <c r="E10" s="451">
        <f>vkm_2011_SW_PW*SUMIFS(TableVerdeelsleutelVkm[LPG],TableVerdeelsleutelVkm[Voertuigtype],"Lichte voertuigen")*SUMIFS(TableECFTransport[EnergieConsumptieFactor (PJ per km)],TableECFTransport[Index],CONCATENATE($A10,"_LPG_LPG"))</f>
        <v>7.3973375427521522E-4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0.17051030637341938</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5.1504870365770637E-2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1.1490674027911294E-2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0.16283949329548145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5.3585749614242616E-5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9.5159168999652995E-3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108.13041655284154</v>
      </c>
      <c r="C14" s="21"/>
      <c r="D14" s="21">
        <f t="shared" ref="D14:M14" si="0">((D5)*10^9/3600)+D12</f>
        <v>407.30768561384355</v>
      </c>
      <c r="E14" s="21">
        <f t="shared" si="0"/>
        <v>579.01177663489727</v>
      </c>
      <c r="F14" s="21"/>
      <c r="G14" s="21">
        <f t="shared" si="0"/>
        <v>203862.60468359533</v>
      </c>
      <c r="H14" s="21">
        <f t="shared" si="0"/>
        <v>46341.9348231982</v>
      </c>
      <c r="I14" s="21"/>
      <c r="J14" s="21"/>
      <c r="K14" s="21"/>
      <c r="L14" s="21"/>
      <c r="M14" s="21">
        <f t="shared" si="0"/>
        <v>13286.184743775926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0.14585353280171148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15.7712032575526</v>
      </c>
      <c r="C18" s="23"/>
      <c r="D18" s="23">
        <f t="shared" ref="D18:M18" si="1">D14*D16</f>
        <v>82.276152493996406</v>
      </c>
      <c r="E18" s="23">
        <f t="shared" si="1"/>
        <v>131.43567329612168</v>
      </c>
      <c r="F18" s="23"/>
      <c r="G18" s="23">
        <f t="shared" si="1"/>
        <v>54431.315450519956</v>
      </c>
      <c r="H18" s="23">
        <f t="shared" si="1"/>
        <v>11539.141770976352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1.1714376183375081E-2</v>
      </c>
      <c r="H50" s="321">
        <f t="shared" si="2"/>
        <v>0</v>
      </c>
      <c r="I50" s="321">
        <f t="shared" si="2"/>
        <v>0</v>
      </c>
      <c r="J50" s="321">
        <f t="shared" si="2"/>
        <v>0</v>
      </c>
      <c r="K50" s="321">
        <f t="shared" si="2"/>
        <v>0</v>
      </c>
      <c r="L50" s="321">
        <f t="shared" si="2"/>
        <v>0</v>
      </c>
      <c r="M50" s="321">
        <f t="shared" si="2"/>
        <v>6.6532485320724554E-4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1.1714376183375081E-2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6.6532485320724554E-4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3253.993384270856</v>
      </c>
      <c r="H54" s="21">
        <f t="shared" si="3"/>
        <v>0</v>
      </c>
      <c r="I54" s="21">
        <f t="shared" si="3"/>
        <v>0</v>
      </c>
      <c r="J54" s="21">
        <f t="shared" si="3"/>
        <v>0</v>
      </c>
      <c r="K54" s="21">
        <f t="shared" si="3"/>
        <v>0</v>
      </c>
      <c r="L54" s="21">
        <f t="shared" si="3"/>
        <v>0</v>
      </c>
      <c r="M54" s="21">
        <f t="shared" si="3"/>
        <v>184.81245922423489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0.14585353280171148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868.81623360031858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35824.953768614359</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19186.171472665912</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55011.125241280271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50859.929300000003</v>
      </c>
      <c r="D10" s="718">
        <f ca="1">tertiair!C16</f>
        <v>0</v>
      </c>
      <c r="E10" s="718">
        <f ca="1">tertiair!D16</f>
        <v>31798.979870899999</v>
      </c>
      <c r="F10" s="718">
        <f>tertiair!E16</f>
        <v>812.66848205749739</v>
      </c>
      <c r="G10" s="718">
        <f ca="1">tertiair!F16</f>
        <v>8760.5376376682398</v>
      </c>
      <c r="H10" s="718">
        <f>tertiair!G16</f>
        <v>0</v>
      </c>
      <c r="I10" s="718">
        <f>tertiair!H16</f>
        <v>0</v>
      </c>
      <c r="J10" s="718">
        <f>tertiair!I16</f>
        <v>0</v>
      </c>
      <c r="K10" s="718">
        <f>tertiair!J16</f>
        <v>0.1329987660154773</v>
      </c>
      <c r="L10" s="718">
        <f>tertiair!K16</f>
        <v>0</v>
      </c>
      <c r="M10" s="718">
        <f ca="1">tertiair!L16</f>
        <v>0</v>
      </c>
      <c r="N10" s="718">
        <f>tertiair!M16</f>
        <v>0</v>
      </c>
      <c r="O10" s="718">
        <f ca="1">tertiair!N16</f>
        <v>5301.7219253204557</v>
      </c>
      <c r="P10" s="718">
        <f>tertiair!O16</f>
        <v>4.6900000000000004</v>
      </c>
      <c r="Q10" s="719">
        <f>tertiair!P16</f>
        <v>38.133333333333333</v>
      </c>
      <c r="R10" s="721">
        <f ca="1">SUM(C10:Q10)</f>
        <v>97576.793548045549</v>
      </c>
      <c r="S10" s="67"/>
    </row>
    <row r="11" spans="1:19" s="474" customFormat="1">
      <c r="A11" s="870" t="s">
        <v>225</v>
      </c>
      <c r="B11" s="875"/>
      <c r="C11" s="718">
        <f>huishoudens!B8</f>
        <v>68910.887626170253</v>
      </c>
      <c r="D11" s="718">
        <f>huishoudens!C8</f>
        <v>0</v>
      </c>
      <c r="E11" s="718">
        <f>huishoudens!D8</f>
        <v>123254.31681310001</v>
      </c>
      <c r="F11" s="718">
        <f>huishoudens!E8</f>
        <v>6985.8602038558192</v>
      </c>
      <c r="G11" s="718">
        <f>huishoudens!F8</f>
        <v>110675.01422104989</v>
      </c>
      <c r="H11" s="718">
        <f>huishoudens!G8</f>
        <v>0</v>
      </c>
      <c r="I11" s="718">
        <f>huishoudens!H8</f>
        <v>0</v>
      </c>
      <c r="J11" s="718">
        <f>huishoudens!I8</f>
        <v>0</v>
      </c>
      <c r="K11" s="718">
        <f>huishoudens!J8</f>
        <v>0</v>
      </c>
      <c r="L11" s="718">
        <f>huishoudens!K8</f>
        <v>0</v>
      </c>
      <c r="M11" s="718">
        <f>huishoudens!L8</f>
        <v>0</v>
      </c>
      <c r="N11" s="718">
        <f>huishoudens!M8</f>
        <v>0</v>
      </c>
      <c r="O11" s="718">
        <f>huishoudens!N8</f>
        <v>50538.584432597112</v>
      </c>
      <c r="P11" s="718">
        <f>huishoudens!O8</f>
        <v>1178.7533333333333</v>
      </c>
      <c r="Q11" s="719">
        <f>huishoudens!P8</f>
        <v>2326.1333333333332</v>
      </c>
      <c r="R11" s="721">
        <f>SUM(C11:Q11)</f>
        <v>363869.54996343976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41363.8868</v>
      </c>
      <c r="D13" s="718">
        <f>industrie!C18</f>
        <v>0</v>
      </c>
      <c r="E13" s="718">
        <f>industrie!D18</f>
        <v>32404.623215799998</v>
      </c>
      <c r="F13" s="718">
        <f>industrie!E18</f>
        <v>3540.3374350726071</v>
      </c>
      <c r="G13" s="718">
        <f>industrie!F18</f>
        <v>11146.652761446423</v>
      </c>
      <c r="H13" s="718">
        <f>industrie!G18</f>
        <v>0</v>
      </c>
      <c r="I13" s="718">
        <f>industrie!H18</f>
        <v>0</v>
      </c>
      <c r="J13" s="718">
        <f>industrie!I18</f>
        <v>0</v>
      </c>
      <c r="K13" s="718">
        <f>industrie!J18</f>
        <v>2.9416898218156238</v>
      </c>
      <c r="L13" s="718">
        <f>industrie!K18</f>
        <v>0</v>
      </c>
      <c r="M13" s="718">
        <f>industrie!L18</f>
        <v>0</v>
      </c>
      <c r="N13" s="718">
        <f>industrie!M18</f>
        <v>0</v>
      </c>
      <c r="O13" s="718">
        <f>industrie!N18</f>
        <v>36490.970532377549</v>
      </c>
      <c r="P13" s="718">
        <f>industrie!O18</f>
        <v>0</v>
      </c>
      <c r="Q13" s="719">
        <f>industrie!P18</f>
        <v>0</v>
      </c>
      <c r="R13" s="721">
        <f>SUM(C13:Q13)</f>
        <v>124949.4124345184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161134.70372617026</v>
      </c>
      <c r="D15" s="723">
        <f t="shared" ref="D15:Q15" ca="1" si="0">SUM(D9:D14)</f>
        <v>0</v>
      </c>
      <c r="E15" s="723">
        <f t="shared" ca="1" si="0"/>
        <v>187457.91989980001</v>
      </c>
      <c r="F15" s="723">
        <f t="shared" si="0"/>
        <v>11338.866120985924</v>
      </c>
      <c r="G15" s="723">
        <f t="shared" ca="1" si="0"/>
        <v>130582.20462016456</v>
      </c>
      <c r="H15" s="723">
        <f t="shared" si="0"/>
        <v>0</v>
      </c>
      <c r="I15" s="723">
        <f t="shared" si="0"/>
        <v>0</v>
      </c>
      <c r="J15" s="723">
        <f t="shared" si="0"/>
        <v>0</v>
      </c>
      <c r="K15" s="723">
        <f t="shared" si="0"/>
        <v>3.0746885878311012</v>
      </c>
      <c r="L15" s="723">
        <f t="shared" si="0"/>
        <v>0</v>
      </c>
      <c r="M15" s="723">
        <f t="shared" ca="1" si="0"/>
        <v>0</v>
      </c>
      <c r="N15" s="723">
        <f t="shared" si="0"/>
        <v>0</v>
      </c>
      <c r="O15" s="723">
        <f t="shared" ca="1" si="0"/>
        <v>92331.276890295121</v>
      </c>
      <c r="P15" s="723">
        <f t="shared" si="0"/>
        <v>1183.4433333333334</v>
      </c>
      <c r="Q15" s="724">
        <f t="shared" si="0"/>
        <v>2364.2666666666664</v>
      </c>
      <c r="R15" s="725">
        <f ca="1">SUM(R9:R14)</f>
        <v>586395.75594600372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3253.993384270856</v>
      </c>
      <c r="I18" s="718">
        <f>transport!H54</f>
        <v>0</v>
      </c>
      <c r="J18" s="718">
        <f>transport!I54</f>
        <v>0</v>
      </c>
      <c r="K18" s="718">
        <f>transport!J54</f>
        <v>0</v>
      </c>
      <c r="L18" s="718">
        <f>transport!K54</f>
        <v>0</v>
      </c>
      <c r="M18" s="718">
        <f>transport!L54</f>
        <v>0</v>
      </c>
      <c r="N18" s="718">
        <f>transport!M54</f>
        <v>184.81245922423489</v>
      </c>
      <c r="O18" s="718">
        <f>transport!N54</f>
        <v>0</v>
      </c>
      <c r="P18" s="718">
        <f>transport!O54</f>
        <v>0</v>
      </c>
      <c r="Q18" s="719">
        <f>transport!P54</f>
        <v>0</v>
      </c>
      <c r="R18" s="721">
        <f>SUM(C18:Q18)</f>
        <v>3438.8058434950908</v>
      </c>
      <c r="S18" s="67"/>
    </row>
    <row r="19" spans="1:19" s="474" customFormat="1" ht="15" thickBot="1">
      <c r="A19" s="870" t="s">
        <v>307</v>
      </c>
      <c r="B19" s="875"/>
      <c r="C19" s="727">
        <f>transport!B14</f>
        <v>108.13041655284154</v>
      </c>
      <c r="D19" s="727">
        <f>transport!C14</f>
        <v>0</v>
      </c>
      <c r="E19" s="727">
        <f>transport!D14</f>
        <v>407.30768561384355</v>
      </c>
      <c r="F19" s="727">
        <f>transport!E14</f>
        <v>579.01177663489727</v>
      </c>
      <c r="G19" s="727">
        <f>transport!F14</f>
        <v>0</v>
      </c>
      <c r="H19" s="727">
        <f>transport!G14</f>
        <v>203862.60468359533</v>
      </c>
      <c r="I19" s="727">
        <f>transport!H14</f>
        <v>46341.9348231982</v>
      </c>
      <c r="J19" s="727">
        <f>transport!I14</f>
        <v>0</v>
      </c>
      <c r="K19" s="727">
        <f>transport!J14</f>
        <v>0</v>
      </c>
      <c r="L19" s="727">
        <f>transport!K14</f>
        <v>0</v>
      </c>
      <c r="M19" s="727">
        <f>transport!L14</f>
        <v>0</v>
      </c>
      <c r="N19" s="727">
        <f>transport!M14</f>
        <v>13286.184743775926</v>
      </c>
      <c r="O19" s="727">
        <f>transport!N14</f>
        <v>0</v>
      </c>
      <c r="P19" s="727">
        <f>transport!O14</f>
        <v>0</v>
      </c>
      <c r="Q19" s="728">
        <f>transport!P14</f>
        <v>0</v>
      </c>
      <c r="R19" s="729">
        <f>SUM(C19:Q19)</f>
        <v>264585.17412937107</v>
      </c>
      <c r="S19" s="67"/>
    </row>
    <row r="20" spans="1:19" s="474" customFormat="1" ht="15.75" thickBot="1">
      <c r="A20" s="730" t="s">
        <v>230</v>
      </c>
      <c r="B20" s="878"/>
      <c r="C20" s="873">
        <f>SUM(C17:C19)</f>
        <v>108.13041655284154</v>
      </c>
      <c r="D20" s="731">
        <f t="shared" ref="D20:R20" si="1">SUM(D17:D19)</f>
        <v>0</v>
      </c>
      <c r="E20" s="731">
        <f t="shared" si="1"/>
        <v>407.30768561384355</v>
      </c>
      <c r="F20" s="731">
        <f t="shared" si="1"/>
        <v>579.01177663489727</v>
      </c>
      <c r="G20" s="731">
        <f t="shared" si="1"/>
        <v>0</v>
      </c>
      <c r="H20" s="731">
        <f t="shared" si="1"/>
        <v>207116.59806786617</v>
      </c>
      <c r="I20" s="731">
        <f t="shared" si="1"/>
        <v>46341.9348231982</v>
      </c>
      <c r="J20" s="731">
        <f t="shared" si="1"/>
        <v>0</v>
      </c>
      <c r="K20" s="731">
        <f t="shared" si="1"/>
        <v>0</v>
      </c>
      <c r="L20" s="731">
        <f t="shared" si="1"/>
        <v>0</v>
      </c>
      <c r="M20" s="731">
        <f t="shared" si="1"/>
        <v>0</v>
      </c>
      <c r="N20" s="731">
        <f t="shared" si="1"/>
        <v>13470.997203000161</v>
      </c>
      <c r="O20" s="731">
        <f t="shared" si="1"/>
        <v>0</v>
      </c>
      <c r="P20" s="731">
        <f t="shared" si="1"/>
        <v>0</v>
      </c>
      <c r="Q20" s="732">
        <f t="shared" si="1"/>
        <v>0</v>
      </c>
      <c r="R20" s="733">
        <f t="shared" si="1"/>
        <v>268023.97997286613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540.6685500000001</v>
      </c>
      <c r="D22" s="727">
        <f>+landbouw!C8</f>
        <v>0</v>
      </c>
      <c r="E22" s="727">
        <f>+landbouw!D8</f>
        <v>392.18058000000002</v>
      </c>
      <c r="F22" s="727">
        <f>+landbouw!E8</f>
        <v>15.89190007685788</v>
      </c>
      <c r="G22" s="727">
        <f>+landbouw!F8</f>
        <v>2252.3959631050479</v>
      </c>
      <c r="H22" s="727">
        <f>+landbouw!G8</f>
        <v>0</v>
      </c>
      <c r="I22" s="727">
        <f>+landbouw!H8</f>
        <v>0</v>
      </c>
      <c r="J22" s="727">
        <f>+landbouw!I8</f>
        <v>0</v>
      </c>
      <c r="K22" s="727">
        <f>+landbouw!J8</f>
        <v>78.331261904979058</v>
      </c>
      <c r="L22" s="727">
        <f>+landbouw!K8</f>
        <v>0</v>
      </c>
      <c r="M22" s="727">
        <f>+landbouw!L8</f>
        <v>0</v>
      </c>
      <c r="N22" s="727">
        <f>+landbouw!M8</f>
        <v>0</v>
      </c>
      <c r="O22" s="727">
        <f>+landbouw!N8</f>
        <v>0</v>
      </c>
      <c r="P22" s="727">
        <f>+landbouw!O8</f>
        <v>0</v>
      </c>
      <c r="Q22" s="728">
        <f>+landbouw!P8</f>
        <v>0</v>
      </c>
      <c r="R22" s="729">
        <f>SUM(C22:Q22)</f>
        <v>3279.4682550868847</v>
      </c>
      <c r="S22" s="67"/>
    </row>
    <row r="23" spans="1:19" s="474" customFormat="1" ht="17.25" thickTop="1" thickBot="1">
      <c r="A23" s="734" t="s">
        <v>116</v>
      </c>
      <c r="B23" s="864"/>
      <c r="C23" s="735">
        <f ca="1">C20+C15+C22</f>
        <v>161783.50269272309</v>
      </c>
      <c r="D23" s="735">
        <f t="shared" ref="D23:Q23" ca="1" si="2">D20+D15+D22</f>
        <v>0</v>
      </c>
      <c r="E23" s="735">
        <f t="shared" ca="1" si="2"/>
        <v>188257.40816541383</v>
      </c>
      <c r="F23" s="735">
        <f t="shared" si="2"/>
        <v>11933.76979769768</v>
      </c>
      <c r="G23" s="735">
        <f t="shared" ca="1" si="2"/>
        <v>132834.60058326961</v>
      </c>
      <c r="H23" s="735">
        <f t="shared" si="2"/>
        <v>207116.59806786617</v>
      </c>
      <c r="I23" s="735">
        <f t="shared" si="2"/>
        <v>46341.9348231982</v>
      </c>
      <c r="J23" s="735">
        <f t="shared" si="2"/>
        <v>0</v>
      </c>
      <c r="K23" s="735">
        <f t="shared" si="2"/>
        <v>81.405950492810163</v>
      </c>
      <c r="L23" s="735">
        <f t="shared" si="2"/>
        <v>0</v>
      </c>
      <c r="M23" s="735">
        <f t="shared" ca="1" si="2"/>
        <v>0</v>
      </c>
      <c r="N23" s="735">
        <f t="shared" si="2"/>
        <v>13470.997203000161</v>
      </c>
      <c r="O23" s="735">
        <f t="shared" ca="1" si="2"/>
        <v>92331.276890295121</v>
      </c>
      <c r="P23" s="735">
        <f t="shared" si="2"/>
        <v>1183.4433333333334</v>
      </c>
      <c r="Q23" s="736">
        <f t="shared" si="2"/>
        <v>2364.2666666666664</v>
      </c>
      <c r="R23" s="737">
        <f ca="1">R20+R15+R22</f>
        <v>857699.20417395676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7418.1003664502778</v>
      </c>
      <c r="D36" s="718">
        <f ca="1">tertiair!C20</f>
        <v>0</v>
      </c>
      <c r="E36" s="718">
        <f ca="1">tertiair!D20</f>
        <v>6423.3939339218005</v>
      </c>
      <c r="F36" s="718">
        <f>tertiair!E20</f>
        <v>184.47574542705192</v>
      </c>
      <c r="G36" s="718">
        <f ca="1">tertiair!F20</f>
        <v>2339.0635492574202</v>
      </c>
      <c r="H36" s="718">
        <f>tertiair!G20</f>
        <v>0</v>
      </c>
      <c r="I36" s="718">
        <f>tertiair!H20</f>
        <v>0</v>
      </c>
      <c r="J36" s="718">
        <f>tertiair!I20</f>
        <v>0</v>
      </c>
      <c r="K36" s="718">
        <f>tertiair!J20</f>
        <v>4.7081563169478965E-2</v>
      </c>
      <c r="L36" s="718">
        <f>tertiair!K20</f>
        <v>0</v>
      </c>
      <c r="M36" s="718">
        <f ca="1">tertiair!L20</f>
        <v>0</v>
      </c>
      <c r="N36" s="718">
        <f>tertiair!M20</f>
        <v>0</v>
      </c>
      <c r="O36" s="718">
        <f ca="1">tertiair!N20</f>
        <v>0</v>
      </c>
      <c r="P36" s="718">
        <f>tertiair!O20</f>
        <v>0</v>
      </c>
      <c r="Q36" s="828">
        <f>tertiair!P20</f>
        <v>0</v>
      </c>
      <c r="R36" s="917">
        <f ca="1">SUM(C36:Q36)</f>
        <v>16365.080676619718</v>
      </c>
    </row>
    <row r="37" spans="1:18">
      <c r="A37" s="885" t="s">
        <v>225</v>
      </c>
      <c r="B37" s="892"/>
      <c r="C37" s="718">
        <f ca="1">huishoudens!B12</f>
        <v>10050.896408778677</v>
      </c>
      <c r="D37" s="718">
        <f ca="1">huishoudens!C12</f>
        <v>0</v>
      </c>
      <c r="E37" s="718">
        <f>huishoudens!D12</f>
        <v>24897.371996246206</v>
      </c>
      <c r="F37" s="718">
        <f>huishoudens!E12</f>
        <v>1585.7902662752711</v>
      </c>
      <c r="G37" s="718">
        <f>huishoudens!F12</f>
        <v>29550.228797020322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66084.287468320472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6033.0690201900807</v>
      </c>
      <c r="D39" s="718">
        <f ca="1">industrie!C22</f>
        <v>0</v>
      </c>
      <c r="E39" s="718">
        <f>industrie!D22</f>
        <v>6545.7338895916</v>
      </c>
      <c r="F39" s="718">
        <f>industrie!E22</f>
        <v>803.65659776148186</v>
      </c>
      <c r="G39" s="718">
        <f>industrie!F22</f>
        <v>2976.1562873061953</v>
      </c>
      <c r="H39" s="718">
        <f>industrie!G22</f>
        <v>0</v>
      </c>
      <c r="I39" s="718">
        <f>industrie!H22</f>
        <v>0</v>
      </c>
      <c r="J39" s="718">
        <f>industrie!I22</f>
        <v>0</v>
      </c>
      <c r="K39" s="718">
        <f>industrie!J22</f>
        <v>1.0413581969227308</v>
      </c>
      <c r="L39" s="718">
        <f>industrie!K22</f>
        <v>0</v>
      </c>
      <c r="M39" s="718">
        <f>industrie!L22</f>
        <v>0</v>
      </c>
      <c r="N39" s="718">
        <f>industrie!M22</f>
        <v>0</v>
      </c>
      <c r="O39" s="718">
        <f>industrie!N22</f>
        <v>0</v>
      </c>
      <c r="P39" s="718">
        <f>industrie!O22</f>
        <v>0</v>
      </c>
      <c r="Q39" s="828">
        <f>industrie!P22</f>
        <v>0</v>
      </c>
      <c r="R39" s="918">
        <f ca="1">SUM(C39:Q39)</f>
        <v>16359.657153046279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23502.065795419036</v>
      </c>
      <c r="D41" s="763">
        <f t="shared" ref="D41:R41" ca="1" si="4">SUM(D35:D40)</f>
        <v>0</v>
      </c>
      <c r="E41" s="763">
        <f t="shared" ca="1" si="4"/>
        <v>37866.499819759607</v>
      </c>
      <c r="F41" s="763">
        <f t="shared" si="4"/>
        <v>2573.9226094638047</v>
      </c>
      <c r="G41" s="763">
        <f t="shared" ca="1" si="4"/>
        <v>34865.448633583932</v>
      </c>
      <c r="H41" s="763">
        <f t="shared" si="4"/>
        <v>0</v>
      </c>
      <c r="I41" s="763">
        <f t="shared" si="4"/>
        <v>0</v>
      </c>
      <c r="J41" s="763">
        <f t="shared" si="4"/>
        <v>0</v>
      </c>
      <c r="K41" s="763">
        <f t="shared" si="4"/>
        <v>1.0884397600922098</v>
      </c>
      <c r="L41" s="763">
        <f t="shared" si="4"/>
        <v>0</v>
      </c>
      <c r="M41" s="763">
        <f t="shared" ca="1" si="4"/>
        <v>0</v>
      </c>
      <c r="N41" s="763">
        <f t="shared" si="4"/>
        <v>0</v>
      </c>
      <c r="O41" s="763">
        <f t="shared" ca="1" si="4"/>
        <v>0</v>
      </c>
      <c r="P41" s="763">
        <f t="shared" si="4"/>
        <v>0</v>
      </c>
      <c r="Q41" s="764">
        <f t="shared" si="4"/>
        <v>0</v>
      </c>
      <c r="R41" s="765">
        <f t="shared" ca="1" si="4"/>
        <v>98809.025297986474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868.81623360031858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868.81623360031858</v>
      </c>
    </row>
    <row r="45" spans="1:18" ht="15" thickBot="1">
      <c r="A45" s="888" t="s">
        <v>307</v>
      </c>
      <c r="B45" s="898"/>
      <c r="C45" s="727">
        <f ca="1">transport!B18</f>
        <v>15.7712032575526</v>
      </c>
      <c r="D45" s="727">
        <f>transport!C18</f>
        <v>0</v>
      </c>
      <c r="E45" s="727">
        <f>transport!D18</f>
        <v>82.276152493996406</v>
      </c>
      <c r="F45" s="727">
        <f>transport!E18</f>
        <v>131.43567329612168</v>
      </c>
      <c r="G45" s="727">
        <f>transport!F18</f>
        <v>0</v>
      </c>
      <c r="H45" s="727">
        <f>transport!G18</f>
        <v>54431.315450519956</v>
      </c>
      <c r="I45" s="727">
        <f>transport!H18</f>
        <v>11539.141770976352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66199.940250543979</v>
      </c>
    </row>
    <row r="46" spans="1:18" ht="15.75" thickBot="1">
      <c r="A46" s="886" t="s">
        <v>230</v>
      </c>
      <c r="B46" s="899"/>
      <c r="C46" s="763">
        <f t="shared" ref="C46:R46" ca="1" si="5">SUM(C43:C45)</f>
        <v>15.7712032575526</v>
      </c>
      <c r="D46" s="763">
        <f t="shared" ca="1" si="5"/>
        <v>0</v>
      </c>
      <c r="E46" s="763">
        <f t="shared" si="5"/>
        <v>82.276152493996406</v>
      </c>
      <c r="F46" s="763">
        <f t="shared" si="5"/>
        <v>131.43567329612168</v>
      </c>
      <c r="G46" s="763">
        <f t="shared" si="5"/>
        <v>0</v>
      </c>
      <c r="H46" s="763">
        <f t="shared" si="5"/>
        <v>55300.131684120272</v>
      </c>
      <c r="I46" s="763">
        <f t="shared" si="5"/>
        <v>11539.141770976352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67068.756484144295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78.858418092278797</v>
      </c>
      <c r="D48" s="718">
        <f ca="1">+landbouw!C12</f>
        <v>0</v>
      </c>
      <c r="E48" s="718">
        <f>+landbouw!D12</f>
        <v>79.220477160000016</v>
      </c>
      <c r="F48" s="718">
        <f>+landbouw!E12</f>
        <v>3.6074613174467389</v>
      </c>
      <c r="G48" s="718">
        <f>+landbouw!F12</f>
        <v>601.38972214904788</v>
      </c>
      <c r="H48" s="718">
        <f>+landbouw!G12</f>
        <v>0</v>
      </c>
      <c r="I48" s="718">
        <f>+landbouw!H12</f>
        <v>0</v>
      </c>
      <c r="J48" s="718">
        <f>+landbouw!I12</f>
        <v>0</v>
      </c>
      <c r="K48" s="718">
        <f>+landbouw!J12</f>
        <v>27.729266714362584</v>
      </c>
      <c r="L48" s="718">
        <f>+landbouw!K12</f>
        <v>0</v>
      </c>
      <c r="M48" s="718">
        <f>+landbouw!L12</f>
        <v>0</v>
      </c>
      <c r="N48" s="718">
        <f>+landbouw!M12</f>
        <v>0</v>
      </c>
      <c r="O48" s="718">
        <f>+landbouw!N12</f>
        <v>0</v>
      </c>
      <c r="P48" s="718">
        <f>+landbouw!O12</f>
        <v>0</v>
      </c>
      <c r="Q48" s="719">
        <f>+landbouw!P12</f>
        <v>0</v>
      </c>
      <c r="R48" s="761">
        <f ca="1">SUM(C48:Q48)</f>
        <v>790.80534543313604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23596.695416768864</v>
      </c>
      <c r="D53" s="773">
        <f t="shared" ref="D53:Q53" ca="1" si="6">D41+D46+D48</f>
        <v>0</v>
      </c>
      <c r="E53" s="773">
        <f t="shared" ca="1" si="6"/>
        <v>38027.996449413607</v>
      </c>
      <c r="F53" s="773">
        <f t="shared" si="6"/>
        <v>2708.9657440773735</v>
      </c>
      <c r="G53" s="773">
        <f t="shared" ca="1" si="6"/>
        <v>35466.83835573298</v>
      </c>
      <c r="H53" s="773">
        <f t="shared" si="6"/>
        <v>55300.131684120272</v>
      </c>
      <c r="I53" s="773">
        <f t="shared" si="6"/>
        <v>11539.141770976352</v>
      </c>
      <c r="J53" s="773">
        <f t="shared" si="6"/>
        <v>0</v>
      </c>
      <c r="K53" s="773">
        <f t="shared" si="6"/>
        <v>28.817706474454795</v>
      </c>
      <c r="L53" s="773">
        <f t="shared" si="6"/>
        <v>0</v>
      </c>
      <c r="M53" s="773">
        <f t="shared" ca="1" si="6"/>
        <v>0</v>
      </c>
      <c r="N53" s="773">
        <f t="shared" si="6"/>
        <v>0</v>
      </c>
      <c r="O53" s="773">
        <f t="shared" ca="1" si="6"/>
        <v>0</v>
      </c>
      <c r="P53" s="773">
        <f>P41+P46+P48</f>
        <v>0</v>
      </c>
      <c r="Q53" s="774">
        <f t="shared" si="6"/>
        <v>0</v>
      </c>
      <c r="R53" s="775">
        <f ca="1">R41+R46+R48</f>
        <v>166668.58712756389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0.14585353280171148</v>
      </c>
      <c r="D55" s="836">
        <f t="shared" ca="1" si="7"/>
        <v>0</v>
      </c>
      <c r="E55" s="836">
        <f t="shared" ca="1" si="7"/>
        <v>0.20200000000000007</v>
      </c>
      <c r="F55" s="836">
        <f t="shared" si="7"/>
        <v>0.22700000000000001</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35824.953768614359</v>
      </c>
      <c r="C64" s="795">
        <f>'lokale energieproductie'!B4</f>
        <v>35824.953768614359</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19186.171472665912</v>
      </c>
      <c r="C66" s="795">
        <f>'lokale energieproductie'!B6</f>
        <v>19186.171472665912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55011.125241280271</v>
      </c>
      <c r="C69" s="803">
        <f>SUM(C64:C68)</f>
        <v>55011.125241280271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68910.887626170253</v>
      </c>
      <c r="C4" s="478">
        <f>huishoudens!C8</f>
        <v>0</v>
      </c>
      <c r="D4" s="478">
        <f>huishoudens!D8</f>
        <v>123254.31681310001</v>
      </c>
      <c r="E4" s="478">
        <f>huishoudens!E8</f>
        <v>6985.8602038558192</v>
      </c>
      <c r="F4" s="478">
        <f>huishoudens!F8</f>
        <v>110675.01422104989</v>
      </c>
      <c r="G4" s="478">
        <f>huishoudens!G8</f>
        <v>0</v>
      </c>
      <c r="H4" s="478">
        <f>huishoudens!H8</f>
        <v>0</v>
      </c>
      <c r="I4" s="478">
        <f>huishoudens!I8</f>
        <v>0</v>
      </c>
      <c r="J4" s="478">
        <f>huishoudens!J8</f>
        <v>0</v>
      </c>
      <c r="K4" s="478">
        <f>huishoudens!K8</f>
        <v>0</v>
      </c>
      <c r="L4" s="478">
        <f>huishoudens!L8</f>
        <v>0</v>
      </c>
      <c r="M4" s="478">
        <f>huishoudens!M8</f>
        <v>0</v>
      </c>
      <c r="N4" s="478">
        <f>huishoudens!N8</f>
        <v>50538.584432597112</v>
      </c>
      <c r="O4" s="478">
        <f>huishoudens!O8</f>
        <v>1178.7533333333333</v>
      </c>
      <c r="P4" s="479">
        <f>huishoudens!P8</f>
        <v>2326.1333333333332</v>
      </c>
      <c r="Q4" s="480">
        <f>SUM(B4:P4)</f>
        <v>363869.54996343976</v>
      </c>
    </row>
    <row r="5" spans="1:17">
      <c r="A5" s="477" t="s">
        <v>156</v>
      </c>
      <c r="B5" s="478">
        <f ca="1">tertiair!B16</f>
        <v>48838.829300000005</v>
      </c>
      <c r="C5" s="478">
        <f ca="1">tertiair!C16</f>
        <v>0</v>
      </c>
      <c r="D5" s="478">
        <f ca="1">tertiair!D16</f>
        <v>31798.979870899999</v>
      </c>
      <c r="E5" s="478">
        <f>tertiair!E16</f>
        <v>812.66848205749739</v>
      </c>
      <c r="F5" s="478">
        <f ca="1">tertiair!F16</f>
        <v>8760.5376376682398</v>
      </c>
      <c r="G5" s="478">
        <f>tertiair!G16</f>
        <v>0</v>
      </c>
      <c r="H5" s="478">
        <f>tertiair!H16</f>
        <v>0</v>
      </c>
      <c r="I5" s="478">
        <f>tertiair!I16</f>
        <v>0</v>
      </c>
      <c r="J5" s="478">
        <f>tertiair!J16</f>
        <v>0.1329987660154773</v>
      </c>
      <c r="K5" s="478">
        <f>tertiair!K16</f>
        <v>0</v>
      </c>
      <c r="L5" s="478">
        <f ca="1">tertiair!L16</f>
        <v>0</v>
      </c>
      <c r="M5" s="478">
        <f>tertiair!M16</f>
        <v>0</v>
      </c>
      <c r="N5" s="478">
        <f ca="1">tertiair!N16</f>
        <v>5301.7219253204557</v>
      </c>
      <c r="O5" s="478">
        <f>tertiair!O16</f>
        <v>4.6900000000000004</v>
      </c>
      <c r="P5" s="479">
        <f>tertiair!P16</f>
        <v>38.133333333333333</v>
      </c>
      <c r="Q5" s="477">
        <f t="shared" ref="Q5:Q13" ca="1" si="0">SUM(B5:P5)</f>
        <v>95555.693548045543</v>
      </c>
    </row>
    <row r="6" spans="1:17">
      <c r="A6" s="477" t="s">
        <v>194</v>
      </c>
      <c r="B6" s="478">
        <f>'openbare verlichting'!B8</f>
        <v>2021.1</v>
      </c>
      <c r="C6" s="478"/>
      <c r="D6" s="478"/>
      <c r="E6" s="478"/>
      <c r="F6" s="478"/>
      <c r="G6" s="478"/>
      <c r="H6" s="478"/>
      <c r="I6" s="478"/>
      <c r="J6" s="478"/>
      <c r="K6" s="478"/>
      <c r="L6" s="478"/>
      <c r="M6" s="478"/>
      <c r="N6" s="478"/>
      <c r="O6" s="478"/>
      <c r="P6" s="479"/>
      <c r="Q6" s="477">
        <f t="shared" si="0"/>
        <v>2021.1</v>
      </c>
    </row>
    <row r="7" spans="1:17">
      <c r="A7" s="477" t="s">
        <v>112</v>
      </c>
      <c r="B7" s="478">
        <f>landbouw!B8</f>
        <v>540.6685500000001</v>
      </c>
      <c r="C7" s="478">
        <f>landbouw!C8</f>
        <v>0</v>
      </c>
      <c r="D7" s="478">
        <f>landbouw!D8</f>
        <v>392.18058000000002</v>
      </c>
      <c r="E7" s="478">
        <f>landbouw!E8</f>
        <v>15.89190007685788</v>
      </c>
      <c r="F7" s="478">
        <f>landbouw!F8</f>
        <v>2252.3959631050479</v>
      </c>
      <c r="G7" s="478">
        <f>landbouw!G8</f>
        <v>0</v>
      </c>
      <c r="H7" s="478">
        <f>landbouw!H8</f>
        <v>0</v>
      </c>
      <c r="I7" s="478">
        <f>landbouw!I8</f>
        <v>0</v>
      </c>
      <c r="J7" s="478">
        <f>landbouw!J8</f>
        <v>78.331261904979058</v>
      </c>
      <c r="K7" s="478">
        <f>landbouw!K8</f>
        <v>0</v>
      </c>
      <c r="L7" s="478">
        <f>landbouw!L8</f>
        <v>0</v>
      </c>
      <c r="M7" s="478">
        <f>landbouw!M8</f>
        <v>0</v>
      </c>
      <c r="N7" s="478">
        <f>landbouw!N8</f>
        <v>0</v>
      </c>
      <c r="O7" s="478">
        <f>landbouw!O8</f>
        <v>0</v>
      </c>
      <c r="P7" s="479">
        <f>landbouw!P8</f>
        <v>0</v>
      </c>
      <c r="Q7" s="477">
        <f t="shared" si="0"/>
        <v>3279.4682550868847</v>
      </c>
    </row>
    <row r="8" spans="1:17">
      <c r="A8" s="477" t="s">
        <v>635</v>
      </c>
      <c r="B8" s="478">
        <f>industrie!B18</f>
        <v>41363.8868</v>
      </c>
      <c r="C8" s="478">
        <f>industrie!C18</f>
        <v>0</v>
      </c>
      <c r="D8" s="478">
        <f>industrie!D18</f>
        <v>32404.623215799998</v>
      </c>
      <c r="E8" s="478">
        <f>industrie!E18</f>
        <v>3540.3374350726071</v>
      </c>
      <c r="F8" s="478">
        <f>industrie!F18</f>
        <v>11146.652761446423</v>
      </c>
      <c r="G8" s="478">
        <f>industrie!G18</f>
        <v>0</v>
      </c>
      <c r="H8" s="478">
        <f>industrie!H18</f>
        <v>0</v>
      </c>
      <c r="I8" s="478">
        <f>industrie!I18</f>
        <v>0</v>
      </c>
      <c r="J8" s="478">
        <f>industrie!J18</f>
        <v>2.9416898218156238</v>
      </c>
      <c r="K8" s="478">
        <f>industrie!K18</f>
        <v>0</v>
      </c>
      <c r="L8" s="478">
        <f>industrie!L18</f>
        <v>0</v>
      </c>
      <c r="M8" s="478">
        <f>industrie!M18</f>
        <v>0</v>
      </c>
      <c r="N8" s="478">
        <f>industrie!N18</f>
        <v>36490.970532377549</v>
      </c>
      <c r="O8" s="478">
        <f>industrie!O18</f>
        <v>0</v>
      </c>
      <c r="P8" s="479">
        <f>industrie!P18</f>
        <v>0</v>
      </c>
      <c r="Q8" s="477">
        <f t="shared" si="0"/>
        <v>124949.4124345184</v>
      </c>
    </row>
    <row r="9" spans="1:17" s="483" customFormat="1">
      <c r="A9" s="481" t="s">
        <v>561</v>
      </c>
      <c r="B9" s="482">
        <f>transport!B14</f>
        <v>108.13041655284154</v>
      </c>
      <c r="C9" s="482">
        <f>transport!C14</f>
        <v>0</v>
      </c>
      <c r="D9" s="482">
        <f>transport!D14</f>
        <v>407.30768561384355</v>
      </c>
      <c r="E9" s="482">
        <f>transport!E14</f>
        <v>579.01177663489727</v>
      </c>
      <c r="F9" s="482">
        <f>transport!F14</f>
        <v>0</v>
      </c>
      <c r="G9" s="482">
        <f>transport!G14</f>
        <v>203862.60468359533</v>
      </c>
      <c r="H9" s="482">
        <f>transport!H14</f>
        <v>46341.9348231982</v>
      </c>
      <c r="I9" s="482">
        <f>transport!I14</f>
        <v>0</v>
      </c>
      <c r="J9" s="482">
        <f>transport!J14</f>
        <v>0</v>
      </c>
      <c r="K9" s="482">
        <f>transport!K14</f>
        <v>0</v>
      </c>
      <c r="L9" s="482">
        <f>transport!L14</f>
        <v>0</v>
      </c>
      <c r="M9" s="482">
        <f>transport!M14</f>
        <v>13286.184743775926</v>
      </c>
      <c r="N9" s="482">
        <f>transport!N14</f>
        <v>0</v>
      </c>
      <c r="O9" s="482">
        <f>transport!O14</f>
        <v>0</v>
      </c>
      <c r="P9" s="482">
        <f>transport!P14</f>
        <v>0</v>
      </c>
      <c r="Q9" s="481">
        <f>SUM(B9:P9)</f>
        <v>264585.17412937107</v>
      </c>
    </row>
    <row r="10" spans="1:17">
      <c r="A10" s="477" t="s">
        <v>551</v>
      </c>
      <c r="B10" s="478">
        <f>transport!B54</f>
        <v>0</v>
      </c>
      <c r="C10" s="478">
        <f>transport!C54</f>
        <v>0</v>
      </c>
      <c r="D10" s="478">
        <f>transport!D54</f>
        <v>0</v>
      </c>
      <c r="E10" s="478">
        <f>transport!E54</f>
        <v>0</v>
      </c>
      <c r="F10" s="478">
        <f>transport!F54</f>
        <v>0</v>
      </c>
      <c r="G10" s="478">
        <f>transport!G54</f>
        <v>3253.993384270856</v>
      </c>
      <c r="H10" s="478">
        <f>transport!H54</f>
        <v>0</v>
      </c>
      <c r="I10" s="478">
        <f>transport!I54</f>
        <v>0</v>
      </c>
      <c r="J10" s="478">
        <f>transport!J54</f>
        <v>0</v>
      </c>
      <c r="K10" s="478">
        <f>transport!K54</f>
        <v>0</v>
      </c>
      <c r="L10" s="478">
        <f>transport!L54</f>
        <v>0</v>
      </c>
      <c r="M10" s="478">
        <f>transport!M54</f>
        <v>184.81245922423489</v>
      </c>
      <c r="N10" s="478">
        <f>transport!N54</f>
        <v>0</v>
      </c>
      <c r="O10" s="478">
        <f>transport!O54</f>
        <v>0</v>
      </c>
      <c r="P10" s="479">
        <f>transport!P54</f>
        <v>0</v>
      </c>
      <c r="Q10" s="477">
        <f t="shared" si="0"/>
        <v>3438.8058434950908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161783.50269272309</v>
      </c>
      <c r="C14" s="488">
        <f t="shared" ref="C14:Q14" ca="1" si="1">SUM(C4:C13)</f>
        <v>0</v>
      </c>
      <c r="D14" s="488">
        <f t="shared" ca="1" si="1"/>
        <v>188257.40816541383</v>
      </c>
      <c r="E14" s="488">
        <f t="shared" si="1"/>
        <v>11933.76979769768</v>
      </c>
      <c r="F14" s="488">
        <f t="shared" ca="1" si="1"/>
        <v>132834.60058326961</v>
      </c>
      <c r="G14" s="488">
        <f t="shared" si="1"/>
        <v>207116.59806786617</v>
      </c>
      <c r="H14" s="488">
        <f t="shared" si="1"/>
        <v>46341.9348231982</v>
      </c>
      <c r="I14" s="488">
        <f t="shared" si="1"/>
        <v>0</v>
      </c>
      <c r="J14" s="488">
        <f t="shared" si="1"/>
        <v>81.405950492810163</v>
      </c>
      <c r="K14" s="488">
        <f t="shared" si="1"/>
        <v>0</v>
      </c>
      <c r="L14" s="488">
        <f t="shared" ca="1" si="1"/>
        <v>0</v>
      </c>
      <c r="M14" s="488">
        <f t="shared" si="1"/>
        <v>13470.997203000161</v>
      </c>
      <c r="N14" s="488">
        <f t="shared" ca="1" si="1"/>
        <v>92331.276890295121</v>
      </c>
      <c r="O14" s="488">
        <f t="shared" si="1"/>
        <v>1183.4433333333334</v>
      </c>
      <c r="P14" s="489">
        <f t="shared" si="1"/>
        <v>2364.2666666666664</v>
      </c>
      <c r="Q14" s="489">
        <f t="shared" ca="1" si="1"/>
        <v>857699.20417395665</v>
      </c>
    </row>
    <row r="16" spans="1:17">
      <c r="A16" s="491" t="s">
        <v>556</v>
      </c>
      <c r="B16" s="841">
        <f ca="1">huishoudens!B10</f>
        <v>0.14585353280171148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10050.896408778677</v>
      </c>
      <c r="C21" s="478">
        <f t="shared" ref="C21:C30" ca="1" si="3">C4*$C$16</f>
        <v>0</v>
      </c>
      <c r="D21" s="478">
        <f t="shared" ref="D21:D30" si="4">D4*$D$16</f>
        <v>24897.371996246206</v>
      </c>
      <c r="E21" s="478">
        <f t="shared" ref="E21:E30" si="5">E4*$E$16</f>
        <v>1585.7902662752711</v>
      </c>
      <c r="F21" s="478">
        <f t="shared" ref="F21:F30" si="6">F4*$F$16</f>
        <v>29550.228797020322</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66084.287468320472</v>
      </c>
    </row>
    <row r="22" spans="1:17">
      <c r="A22" s="477" t="s">
        <v>156</v>
      </c>
      <c r="B22" s="478">
        <f t="shared" ca="1" si="2"/>
        <v>7123.3157913047389</v>
      </c>
      <c r="C22" s="478">
        <f t="shared" ca="1" si="3"/>
        <v>0</v>
      </c>
      <c r="D22" s="478">
        <f t="shared" ca="1" si="4"/>
        <v>6423.3939339218005</v>
      </c>
      <c r="E22" s="478">
        <f t="shared" si="5"/>
        <v>184.47574542705192</v>
      </c>
      <c r="F22" s="478">
        <f t="shared" ca="1" si="6"/>
        <v>2339.0635492574202</v>
      </c>
      <c r="G22" s="478">
        <f t="shared" si="7"/>
        <v>0</v>
      </c>
      <c r="H22" s="478">
        <f t="shared" si="8"/>
        <v>0</v>
      </c>
      <c r="I22" s="478">
        <f t="shared" si="9"/>
        <v>0</v>
      </c>
      <c r="J22" s="478">
        <f t="shared" si="10"/>
        <v>4.7081563169478965E-2</v>
      </c>
      <c r="K22" s="478">
        <f t="shared" si="11"/>
        <v>0</v>
      </c>
      <c r="L22" s="478">
        <f t="shared" ca="1" si="12"/>
        <v>0</v>
      </c>
      <c r="M22" s="478">
        <f t="shared" si="13"/>
        <v>0</v>
      </c>
      <c r="N22" s="478">
        <f t="shared" ca="1" si="14"/>
        <v>0</v>
      </c>
      <c r="O22" s="478">
        <f t="shared" si="15"/>
        <v>0</v>
      </c>
      <c r="P22" s="479">
        <f t="shared" si="16"/>
        <v>0</v>
      </c>
      <c r="Q22" s="477">
        <f t="shared" ref="Q22:Q30" ca="1" si="17">SUM(B22:P22)</f>
        <v>16070.29610147418</v>
      </c>
    </row>
    <row r="23" spans="1:17">
      <c r="A23" s="477" t="s">
        <v>194</v>
      </c>
      <c r="B23" s="478">
        <f t="shared" ca="1" si="2"/>
        <v>294.78457514553907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294.78457514553907</v>
      </c>
    </row>
    <row r="24" spans="1:17">
      <c r="A24" s="477" t="s">
        <v>112</v>
      </c>
      <c r="B24" s="478">
        <f t="shared" ca="1" si="2"/>
        <v>78.858418092278797</v>
      </c>
      <c r="C24" s="478">
        <f t="shared" ca="1" si="3"/>
        <v>0</v>
      </c>
      <c r="D24" s="478">
        <f t="shared" si="4"/>
        <v>79.220477160000016</v>
      </c>
      <c r="E24" s="478">
        <f t="shared" si="5"/>
        <v>3.6074613174467389</v>
      </c>
      <c r="F24" s="478">
        <f t="shared" si="6"/>
        <v>601.38972214904788</v>
      </c>
      <c r="G24" s="478">
        <f t="shared" si="7"/>
        <v>0</v>
      </c>
      <c r="H24" s="478">
        <f t="shared" si="8"/>
        <v>0</v>
      </c>
      <c r="I24" s="478">
        <f t="shared" si="9"/>
        <v>0</v>
      </c>
      <c r="J24" s="478">
        <f t="shared" si="10"/>
        <v>27.729266714362584</v>
      </c>
      <c r="K24" s="478">
        <f t="shared" si="11"/>
        <v>0</v>
      </c>
      <c r="L24" s="478">
        <f t="shared" si="12"/>
        <v>0</v>
      </c>
      <c r="M24" s="478">
        <f t="shared" si="13"/>
        <v>0</v>
      </c>
      <c r="N24" s="478">
        <f t="shared" si="14"/>
        <v>0</v>
      </c>
      <c r="O24" s="478">
        <f t="shared" si="15"/>
        <v>0</v>
      </c>
      <c r="P24" s="479">
        <f t="shared" si="16"/>
        <v>0</v>
      </c>
      <c r="Q24" s="477">
        <f t="shared" ca="1" si="17"/>
        <v>790.80534543313604</v>
      </c>
    </row>
    <row r="25" spans="1:17">
      <c r="A25" s="477" t="s">
        <v>635</v>
      </c>
      <c r="B25" s="478">
        <f t="shared" ca="1" si="2"/>
        <v>6033.0690201900807</v>
      </c>
      <c r="C25" s="478">
        <f t="shared" ca="1" si="3"/>
        <v>0</v>
      </c>
      <c r="D25" s="478">
        <f t="shared" si="4"/>
        <v>6545.7338895916</v>
      </c>
      <c r="E25" s="478">
        <f t="shared" si="5"/>
        <v>803.65659776148186</v>
      </c>
      <c r="F25" s="478">
        <f t="shared" si="6"/>
        <v>2976.1562873061953</v>
      </c>
      <c r="G25" s="478">
        <f t="shared" si="7"/>
        <v>0</v>
      </c>
      <c r="H25" s="478">
        <f t="shared" si="8"/>
        <v>0</v>
      </c>
      <c r="I25" s="478">
        <f t="shared" si="9"/>
        <v>0</v>
      </c>
      <c r="J25" s="478">
        <f t="shared" si="10"/>
        <v>1.0413581969227308</v>
      </c>
      <c r="K25" s="478">
        <f t="shared" si="11"/>
        <v>0</v>
      </c>
      <c r="L25" s="478">
        <f t="shared" si="12"/>
        <v>0</v>
      </c>
      <c r="M25" s="478">
        <f t="shared" si="13"/>
        <v>0</v>
      </c>
      <c r="N25" s="478">
        <f t="shared" si="14"/>
        <v>0</v>
      </c>
      <c r="O25" s="478">
        <f t="shared" si="15"/>
        <v>0</v>
      </c>
      <c r="P25" s="479">
        <f t="shared" si="16"/>
        <v>0</v>
      </c>
      <c r="Q25" s="477">
        <f t="shared" ca="1" si="17"/>
        <v>16359.657153046279</v>
      </c>
    </row>
    <row r="26" spans="1:17" s="483" customFormat="1">
      <c r="A26" s="481" t="s">
        <v>561</v>
      </c>
      <c r="B26" s="835">
        <f t="shared" ca="1" si="2"/>
        <v>15.7712032575526</v>
      </c>
      <c r="C26" s="482">
        <f t="shared" ca="1" si="3"/>
        <v>0</v>
      </c>
      <c r="D26" s="482">
        <f t="shared" si="4"/>
        <v>82.276152493996406</v>
      </c>
      <c r="E26" s="482">
        <f t="shared" si="5"/>
        <v>131.43567329612168</v>
      </c>
      <c r="F26" s="482">
        <f t="shared" si="6"/>
        <v>0</v>
      </c>
      <c r="G26" s="482">
        <f t="shared" si="7"/>
        <v>54431.315450519956</v>
      </c>
      <c r="H26" s="482">
        <f t="shared" si="8"/>
        <v>11539.141770976352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66199.940250543979</v>
      </c>
    </row>
    <row r="27" spans="1:17">
      <c r="A27" s="477" t="s">
        <v>551</v>
      </c>
      <c r="B27" s="478">
        <f t="shared" ca="1" si="2"/>
        <v>0</v>
      </c>
      <c r="C27" s="478">
        <f t="shared" ca="1" si="3"/>
        <v>0</v>
      </c>
      <c r="D27" s="478">
        <f t="shared" si="4"/>
        <v>0</v>
      </c>
      <c r="E27" s="478">
        <f t="shared" si="5"/>
        <v>0</v>
      </c>
      <c r="F27" s="478">
        <f t="shared" si="6"/>
        <v>0</v>
      </c>
      <c r="G27" s="478">
        <f t="shared" si="7"/>
        <v>868.81623360031858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868.81623360031858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23596.695416768864</v>
      </c>
      <c r="C31" s="488">
        <f t="shared" ca="1" si="18"/>
        <v>0</v>
      </c>
      <c r="D31" s="488">
        <f t="shared" ca="1" si="18"/>
        <v>38027.996449413607</v>
      </c>
      <c r="E31" s="488">
        <f t="shared" si="18"/>
        <v>2708.9657440773731</v>
      </c>
      <c r="F31" s="488">
        <f t="shared" ca="1" si="18"/>
        <v>35466.83835573298</v>
      </c>
      <c r="G31" s="488">
        <f t="shared" si="18"/>
        <v>55300.131684120272</v>
      </c>
      <c r="H31" s="488">
        <f t="shared" si="18"/>
        <v>11539.141770976352</v>
      </c>
      <c r="I31" s="488">
        <f t="shared" si="18"/>
        <v>0</v>
      </c>
      <c r="J31" s="488">
        <f t="shared" si="18"/>
        <v>28.817706474454791</v>
      </c>
      <c r="K31" s="488">
        <f t="shared" si="18"/>
        <v>0</v>
      </c>
      <c r="L31" s="488">
        <f t="shared" ca="1" si="18"/>
        <v>0</v>
      </c>
      <c r="M31" s="488">
        <f t="shared" si="18"/>
        <v>0</v>
      </c>
      <c r="N31" s="488">
        <f t="shared" ca="1" si="18"/>
        <v>0</v>
      </c>
      <c r="O31" s="488">
        <f t="shared" si="18"/>
        <v>0</v>
      </c>
      <c r="P31" s="489">
        <f t="shared" si="18"/>
        <v>0</v>
      </c>
      <c r="Q31" s="489">
        <f t="shared" ca="1" si="18"/>
        <v>166668.58712756389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0.14585353280171148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0.14585353280171148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0.14585353280171148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2018-09-06T12:49:03Z</dcterms:modified>
</cp:coreProperties>
</file>