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B22" i="6"/>
  <c r="C18" i="15" s="1"/>
  <c r="C20" s="1"/>
  <c r="D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F8" i="48"/>
  <c r="Q4"/>
  <c r="N22"/>
  <c r="R11" i="14"/>
  <c r="J21" i="48"/>
  <c r="R10" i="14"/>
  <c r="C56" i="22" l="1"/>
  <c r="C58" s="1"/>
  <c r="D44" i="14" s="1"/>
  <c r="D46" s="1"/>
  <c r="C16" i="22"/>
  <c r="O13" i="14"/>
  <c r="O15" s="1"/>
  <c r="C10" i="13"/>
  <c r="C16" i="48" s="1"/>
  <c r="C30" s="1"/>
  <c r="F41" i="14"/>
  <c r="F53" s="1"/>
  <c r="C10" i="17"/>
  <c r="C12" s="1"/>
  <c r="D48" i="14" s="1"/>
  <c r="Q5" i="48"/>
  <c r="F22" i="16"/>
  <c r="G39" i="14" s="1"/>
  <c r="G4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2" i="48"/>
  <c r="C25"/>
  <c r="C29"/>
  <c r="C21"/>
  <c r="F25"/>
  <c r="F31" s="1"/>
  <c r="F14"/>
  <c r="R13" i="14" l="1"/>
  <c r="R15" s="1"/>
  <c r="C27" i="48"/>
  <c r="C26"/>
  <c r="C23"/>
  <c r="C31" s="1"/>
  <c r="C24"/>
  <c r="E14"/>
  <c r="C28"/>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<sst xmlns="http://schemas.openxmlformats.org/spreadsheetml/2006/main" count="2039" uniqueCount="859">
  <si>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</si>
  <si>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</si>
  <si>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</si>
  <si>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</si>
  <si>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</si>
  <si>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</si>
  <si>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</si>
  <si>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</si>
  <si>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</si>
  <si>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</si>
  <si>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</si>
  <si>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</si>
  <si>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</si>
  <si>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</si>
  <si>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</si>
  <si>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</si>
  <si>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</si>
  <si>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</si>
  <si>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</si>
  <si>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</si>
  <si>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</si>
  <si>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</si>
  <si>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</si>
  <si>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</si>
  <si>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</si>
  <si>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</si>
  <si>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</si>
  <si>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</si>
  <si>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</si>
  <si>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</si>
  <si>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</si>
  <si>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</si>
  <si>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</si>
  <si>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</si>
  <si>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</si>
  <si>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</si>
  <si>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</si>
  <si>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</si>
  <si>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</si>
  <si>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</si>
  <si>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</si>
  <si>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</si>
  <si>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</si>
  <si>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</si>
  <si>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</si>
  <si>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</si>
  <si>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</si>
  <si>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</si>
  <si>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</si>
  <si>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</si>
  <si>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</si>
  <si>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</si>
  <si>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</si>
  <si>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</si>
  <si>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</si>
  <si>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</si>
  <si>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</si>
  <si>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</si>
  <si>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</si>
  <si>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</si>
  <si>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</si>
  <si>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</si>
  <si>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</si>
  <si>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</si>
  <si>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</si>
  <si>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</si>
  <si>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</si>
  <si>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</si>
  <si>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</si>
  <si>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</si>
  <si>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</si>
  <si>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</si>
  <si>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</si>
  <si>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</si>
  <si>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</si>
  <si>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</si>
  <si>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</si>
  <si>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</si>
  <si>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</si>
  <si>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</si>
  <si>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</si>
  <si>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</si>
  <si>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</si>
  <si>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</si>
  <si>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</si>
  <si>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</si>
  <si>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</si>
  <si>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</si>
  <si>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</si>
  <si>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</si>
  <si>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</si>
  <si>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</si>
  <si>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</si>
  <si>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</si>
  <si>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</si>
  <si>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</si>
  <si>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</si>
  <si>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</si>
  <si>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</si>
  <si>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</si>
  <si>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</si>
  <si>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</si>
  <si>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</si>
  <si>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</si>
  <si>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</si>
  <si>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</si>
  <si>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</si>
  <si>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</si>
  <si>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</si>
  <si>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</si>
  <si>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</si>
  <si>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</si>
  <si>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</si>
  <si>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</si>
  <si>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</si>
  <si>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</si>
  <si>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</si>
  <si>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</si>
  <si>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</si>
  <si>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</si>
  <si>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</si>
  <si>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</si>
  <si>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</si>
  <si>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</si>
  <si>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</si>
  <si>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</si>
  <si>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</si>
  <si>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</si>
  <si>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</si>
  <si>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</si>
  <si>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</si>
  <si>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</si>
  <si>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</si>
  <si>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</si>
  <si>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</si>
  <si>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</si>
  <si>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</si>
  <si>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</si>
  <si>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</si>
  <si>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</si>
  <si>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</si>
  <si>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</si>
  <si>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</si>
  <si>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</si>
  <si>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</si>
  <si>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</si>
  <si>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</si>
  <si>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</si>
  <si>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</si>
  <si>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</si>
  <si>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</si>
  <si>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</si>
  <si>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</si>
  <si>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</si>
  <si>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</si>
  <si>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</si>
  <si>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</si>
  <si>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</si>
  <si>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</si>
  <si>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</si>
  <si>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</si>
  <si>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</si>
  <si>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</si>
  <si>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</si>
  <si>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</si>
  <si>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</si>
  <si>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</si>
  <si>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</si>
  <si>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</si>
  <si>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</si>
  <si>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</si>
  <si>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</si>
  <si>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</si>
  <si>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</si>
  <si>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</si>
  <si>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</si>
  <si>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</si>
  <si>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</si>
  <si>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</si>
  <si>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</si>
  <si>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</si>
  <si>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</si>
  <si>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</si>
  <si>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</si>
  <si>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</si>
  <si>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</si>
  <si>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</si>
  <si>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</si>
  <si>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</si>
  <si>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</si>
  <si>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</si>
  <si>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</si>
  <si>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</si>
  <si>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</si>
  <si>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</si>
  <si>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</si>
  <si>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</si>
  <si>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</si>
  <si>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</si>
  <si>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</si>
  <si>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</si>
  <si>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</si>
  <si>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</si>
  <si>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</si>
  <si>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</si>
  <si>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</si>
  <si>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</si>
  <si>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</si>
  <si>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</si>
  <si>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</si>
  <si>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</si>
  <si>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</si>
  <si>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</si>
  <si>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</si>
  <si>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</si>
  <si>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</si>
  <si>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</si>
  <si>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</si>
  <si>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</si>
  <si>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</si>
  <si>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</si>
  <si>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</si>
  <si>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</si>
  <si>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</si>
  <si>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</si>
  <si>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</si>
  <si>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</si>
  <si>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</si>
  <si>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</si>
  <si>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</si>
  <si>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</si>
  <si>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</si>
  <si>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</si>
  <si>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</si>
  <si>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</si>
  <si>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</si>
  <si>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</si>
  <si>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</si>
  <si>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</si>
  <si>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</si>
  <si>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</si>
  <si>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</si>
  <si>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</si>
  <si>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</si>
  <si>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</si>
  <si>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</si>
  <si>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</si>
  <si>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</si>
  <si>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</si>
  <si>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</si>
  <si>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</si>
  <si>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</si>
  <si>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</si>
  <si>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</si>
  <si>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</si>
  <si>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</si>
  <si>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</si>
  <si>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</si>
  <si>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</si>
  <si>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</si>
  <si>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</si>
  <si>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</si>
  <si>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</si>
  <si>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</si>
  <si>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</si>
  <si>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</si>
  <si>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</si>
  <si>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</si>
  <si>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</si>
  <si>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</si>
  <si>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</si>
  <si>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</si>
  <si>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</si>
  <si>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</si>
  <si>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</si>
  <si>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</si>
  <si>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</si>
  <si>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</si>
  <si>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</si>
  <si>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</si>
  <si>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</si>
  <si>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</si>
  <si>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</si>
  <si>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</si>
  <si>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</si>
  <si>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</si>
  <si>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</si>
  <si>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</si>
  <si>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</si>
  <si>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</si>
  <si>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</si>
  <si>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</si>
  <si>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</si>
  <si>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</si>
  <si>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</si>
  <si>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</si>
  <si>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</si>
  <si>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</si>
  <si>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</si>
  <si>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</si>
  <si>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</si>
  <si>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</si>
  <si>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</si>
  <si>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</si>
  <si>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</si>
  <si>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</si>
  <si>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</si>
  <si>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</si>
  <si>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</si>
  <si>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</si>
  <si>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</si>
  <si>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</si>
  <si>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</si>
  <si>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</si>
  <si>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</si>
  <si>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</si>
  <si>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</si>
  <si>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</si>
  <si>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</si>
  <si>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</si>
  <si>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</si>
  <si>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</si>
  <si>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</si>
  <si>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</si>
  <si>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</si>
  <si>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</si>
  <si>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</si>
  <si>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</si>
  <si>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</si>
  <si>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</si>
  <si>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</si>
  <si>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</si>
  <si>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</si>
  <si>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</si>
  <si>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</si>
  <si>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</si>
  <si>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</si>
  <si>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</si>
  <si>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</si>
  <si>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</si>
  <si>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</si>
  <si>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</si>
  <si>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</si>
  <si>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</si>
  <si>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</si>
  <si>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</si>
  <si>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</si>
  <si>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</si>
  <si>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</si>
  <si>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</si>
  <si>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</si>
  <si>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</si>
  <si>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</si>
  <si>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</si>
  <si>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</si>
  <si>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</si>
  <si>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</si>
  <si>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</si>
  <si>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</si>
  <si>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</si>
  <si>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</si>
  <si>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</si>
  <si>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</si>
  <si>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</si>
  <si>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</si>
  <si>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</si>
  <si>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</si>
  <si>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</si>
  <si>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</si>
  <si>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</si>
  <si>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</si>
  <si>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</si>
  <si>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</si>
  <si>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</si>
  <si>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</si>
  <si>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</si>
  <si>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</si>
  <si>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</si>
  <si>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</si>
  <si>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</si>
  <si>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</si>
  <si>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</si>
  <si>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</si>
  <si>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</si>
  <si>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</si>
  <si>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</si>
  <si>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</si>
  <si>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</si>
  <si>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</si>
  <si>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</si>
  <si>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</si>
  <si>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</si>
  <si>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</si>
  <si>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</si>
  <si>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</si>
  <si>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</si>
  <si>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</si>
  <si>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</si>
  <si>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</si>
  <si>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</si>
  <si>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</si>
  <si>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</si>
  <si>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</si>
  <si>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</si>
  <si>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</si>
  <si>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</si>
  <si>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</si>
  <si>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</si>
  <si>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</si>
  <si>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</si>
  <si>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</si>
  <si>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</si>
  <si>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</si>
  <si>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</si>
  <si>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</si>
  <si>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</si>
  <si>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</si>
  <si>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</si>
  <si>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</si>
  <si>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</si>
  <si>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</si>
  <si>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</si>
  <si>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</si>
  <si>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</si>
  <si>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</si>
  <si>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</si>
  <si>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</si>
  <si>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</si>
  <si>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</si>
  <si>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</si>
  <si>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</si>
  <si>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</si>
  <si>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</si>
  <si>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</si>
  <si>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</si>
  <si>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</si>
  <si>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</si>
  <si>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</si>
  <si>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</si>
  <si>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</si>
  <si>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</si>
  <si>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</si>
  <si>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</si>
  <si>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</si>
  <si>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</si>
  <si>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</si>
  <si>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</si>
  <si>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</si>
  <si>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</si>
  <si>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</si>
  <si>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</si>
  <si>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</si>
  <si>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</si>
  <si>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</si>
  <si>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</si>
  <si>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</si>
  <si>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</si>
  <si>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</si>
  <si>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</si>
  <si>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</si>
  <si>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</si>
  <si>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</si>
  <si>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</si>
  <si>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</si>
  <si>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</si>
  <si>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</si>
  <si>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</si>
  <si>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</si>
  <si>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</si>
  <si>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</si>
  <si>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</si>
  <si>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</si>
  <si>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</si>
  <si>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</si>
  <si>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</si>
  <si>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</si>
  <si>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</si>
  <si>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</si>
  <si>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</si>
  <si>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</si>
  <si>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</si>
  <si>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</si>
  <si>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</si>
  <si>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</si>
  <si>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</si>
  <si>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</si>
  <si>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</si>
  <si>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</si>
  <si>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</si>
  <si>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</si>
  <si>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</si>
  <si>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</si>
  <si>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</si>
  <si>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</si>
  <si>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</si>
  <si>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</si>
  <si>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</si>
  <si>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</si>
  <si>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</si>
  <si>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</si>
  <si>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</si>
  <si>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</si>
  <si>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</si>
  <si>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</si>
  <si>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</si>
  <si>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</si>
  <si>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</si>
  <si>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</si>
  <si>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</si>
  <si>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</si>
  <si>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</si>
  <si>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</si>
  <si>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</si>
  <si>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</si>
  <si>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</si>
  <si>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</si>
  <si>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</si>
  <si>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</si>
  <si>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</si>
  <si>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</si>
  <si>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</si>
  <si>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</si>
  <si>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</si>
  <si>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</si>
  <si>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</si>
  <si>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</si>
  <si>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</si>
  <si>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</si>
  <si>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</si>
  <si>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</si>
  <si>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</si>
  <si>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</si>
  <si>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</si>
  <si>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</si>
  <si>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</si>
  <si>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</si>
  <si>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</si>
  <si>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</si>
  <si>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</si>
  <si>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</si>
  <si>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</si>
  <si>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</si>
  <si>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</si>
  <si>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</si>
  <si>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</si>
  <si>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</si>
  <si>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</si>
  <si>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</si>
  <si>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</si>
  <si>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</si>
  <si>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</si>
  <si>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</si>
  <si>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</si>
  <si>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</si>
  <si>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</si>
  <si>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</si>
  <si>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</si>
  <si>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</si>
  <si>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</si>
  <si>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</si>
  <si>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</si>
  <si>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</si>
  <si>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</si>
  <si>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</si>
  <si>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</si>
  <si>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</si>
  <si>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</si>
  <si>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</si>
  <si>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</si>
  <si>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</si>
  <si>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</si>
  <si>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</si>
  <si>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</si>
  <si>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</si>
  <si>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</si>
  <si>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</si>
  <si>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</si>
  <si>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</si>
  <si>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</si>
  <si>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</si>
  <si>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</si>
  <si>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</si>
  <si>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</si>
  <si>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</si>
  <si>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</si>
  <si>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</si>
  <si>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</si>
  <si>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</si>
  <si>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</si>
  <si>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</si>
  <si>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</si>
  <si>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</si>
  <si>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</si>
  <si>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</si>
  <si>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</si>
  <si>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</si>
  <si>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</si>
  <si>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</si>
  <si>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</si>
  <si>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</si>
  <si>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</si>
  <si>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</si>
  <si>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</si>
  <si>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</si>
  <si>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</si>
  <si>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</si>
  <si>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</si>
  <si>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</si>
  <si>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</si>
  <si>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</si>
  <si>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</si>
  <si>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</si>
  <si>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</si>
  <si>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</si>
  <si>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</si>
  <si>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</si>
  <si>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</si>
  <si>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</si>
  <si>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</si>
  <si>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</si>
  <si>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</si>
  <si>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</si>
  <si>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</si>
  <si>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</si>
  <si>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</si>
  <si>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</si>
  <si>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</si>
  <si>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</si>
  <si>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</si>
  <si>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</si>
  <si>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</si>
  <si>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</si>
  <si>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</si>
  <si>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</si>
  <si>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</si>
  <si>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</si>
  <si>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</si>
  <si>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</si>
  <si>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</si>
  <si>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</si>
  <si>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</si>
  <si>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</si>
  <si>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</si>
  <si>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</si>
  <si>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</si>
  <si>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</si>
  <si>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</si>
  <si>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</si>
  <si>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</si>
  <si>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</si>
  <si>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</si>
  <si>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</si>
  <si>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</si>
  <si>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</si>
  <si>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</si>
  <si>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</si>
  <si>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</si>
  <si>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</si>
  <si>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</si>
  <si>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</si>
  <si>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</si>
  <si>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</si>
  <si>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</si>
  <si>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</si>
  <si>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</si>
  <si>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</si>
  <si>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</si>
  <si>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</si>
  <si>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</si>
  <si>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</si>
  <si>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</si>
  <si>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</si>
  <si>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</si>
  <si>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</si>
  <si>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</si>
  <si>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</si>
  <si>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</si>
  <si>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</si>
  <si>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</si>
  <si>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</si>
  <si>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</si>
  <si>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</si>
  <si>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</si>
  <si>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</si>
  <si>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</si>
  <si>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</si>
  <si>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</si>
  <si>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</si>
  <si>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</si>
  <si>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</si>
  <si>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</si>
  <si>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</si>
  <si>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</si>
  <si>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</si>
  <si>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</si>
  <si>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</si>
  <si>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</si>
  <si>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</si>
  <si>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</si>
  <si>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</si>
  <si>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</si>
  <si>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</si>
  <si>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</si>
  <si>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</si>
  <si>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</si>
  <si>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</si>
  <si>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</si>
  <si>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</si>
  <si>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</si>
  <si>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</si>
  <si>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</si>
  <si>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</si>
  <si>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</si>
  <si>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</si>
  <si>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</si>
  <si>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</si>
  <si>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</si>
  <si>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</si>
  <si>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</si>
  <si>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</si>
  <si>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</si>
  <si>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</si>
  <si>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</si>
  <si>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</si>
  <si>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</si>
  <si>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</si>
  <si>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</si>
  <si>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</si>
  <si>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</si>
  <si>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</si>
  <si>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</si>
  <si>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</si>
  <si>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</si>
  <si>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</si>
  <si>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</si>
  <si>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</si>
  <si>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</si>
  <si>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</si>
  <si>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</si>
  <si>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</si>
  <si>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</si>
  <si>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</si>
  <si>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</si>
  <si>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</si>
  <si>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</si>
  <si>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</si>
  <si>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</si>
  <si>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</si>
  <si>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</si>
  <si>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</si>
  <si>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</si>
  <si>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</si>
  <si>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</si>
  <si>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</si>
  <si>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</si>
  <si>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</si>
  <si>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</si>
  <si>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</si>
  <si>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</si>
  <si>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</si>
  <si>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</si>
  <si>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</si>
  <si>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</si>
  <si>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</si>
  <si>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</si>
  <si>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</si>
  <si>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</si>
  <si>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</si>
  <si>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</si>
  <si>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</si>
  <si>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</si>
  <si>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</si>
  <si>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</si>
  <si>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</si>
  <si>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</si>
  <si>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</si>
  <si>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</si>
  <si>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</si>
  <si>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</si>
  <si>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</si>
  <si>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</si>
  <si>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</si>
  <si>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</si>
  <si>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</si>
  <si>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</si>
  <si>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</si>
  <si>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</si>
  <si>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</si>
  <si>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</si>
  <si>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</si>
  <si>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</si>
  <si>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</si>
  <si>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</si>
  <si>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</si>
  <si>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</si>
  <si>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</si>
  <si>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</si>
  <si>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</si>
  <si>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</si>
  <si>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</si>
  <si>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</si>
  <si>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46003</t>
  </si>
  <si>
    <t>BEVEREN</t>
  </si>
  <si>
    <t>Eandis (januari 2018); Infrax (juni 2018)</t>
  </si>
  <si>
    <t>MOW (september 2017)</t>
  </si>
  <si>
    <t>referentietaak LNE (2017); Jaarverslag De Lijn (2016)</t>
  </si>
  <si>
    <t>VEA (april 2018)</t>
  </si>
  <si>
    <t>VEA (januari 2017)</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</si>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</sst>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344308.81315946166</c:v>
                </c:pt>
                <c:pt idx="1">
                  <c:v>316929.43310851656</c:v>
                </c:pt>
                <c:pt idx="2">
                  <c:v>2951.721</c:v>
                </c:pt>
                <c:pt idx="3">
                  <c:v>165186.30436809972</c:v>
                </c:pt>
                <c:pt idx="4">
                  <c:v>155961.13181116563</c:v>
                </c:pt>
                <c:pt idx="5">
                  <c:v>1059692.3982024416</c:v>
                </c:pt>
                <c:pt idx="6">
                  <c:v>3945.6139656228897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62464"/>
        <c:axId val="156464256"/>
      </c:barChart>
      <c:catAx>
        <c:axId val="156462464"/>
        <c:scaling>
          <c:orientation val="minMax"/>
        </c:scaling>
        <c:axPos val="b"/>
        <c:numFmt formatCode="General" sourceLinked="0"/>
        <c:tickLblPos val="nextTo"/>
        <c:crossAx val="156464256"/>
        <c:crosses val="autoZero"/>
        <c:auto val="1"/>
        <c:lblAlgn val="ctr"/>
        <c:lblOffset val="100"/>
      </c:catAx>
      <c:valAx>
        <c:axId val="156464256"/>
        <c:scaling>
          <c:orientation val="minMax"/>
        </c:scaling>
        <c:axPos val="l"/>
        <c:majorGridlines/>
        <c:numFmt formatCode="#,##0" sourceLinked="1"/>
        <c:tickLblPos val="nextTo"/>
        <c:crossAx val="1564624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344308.81315946166</c:v>
                </c:pt>
                <c:pt idx="1">
                  <c:v>316929.43310851656</c:v>
                </c:pt>
                <c:pt idx="2">
                  <c:v>2951.721</c:v>
                </c:pt>
                <c:pt idx="3">
                  <c:v>165186.30436809972</c:v>
                </c:pt>
                <c:pt idx="4">
                  <c:v>155961.13181116563</c:v>
                </c:pt>
                <c:pt idx="5">
                  <c:v>1059692.3982024416</c:v>
                </c:pt>
                <c:pt idx="6">
                  <c:v>3945.6139656228897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53799.48583935936</c:v>
                </c:pt>
                <c:pt idx="1">
                  <c:v>46954.587365736676</c:v>
                </c:pt>
                <c:pt idx="2">
                  <c:v>312.23449037878686</c:v>
                </c:pt>
                <c:pt idx="3">
                  <c:v>29638.719886499057</c:v>
                </c:pt>
                <c:pt idx="4">
                  <c:v>23022.459780285462</c:v>
                </c:pt>
                <c:pt idx="5">
                  <c:v>265813.11429777252</c:v>
                </c:pt>
                <c:pt idx="6">
                  <c:v>996.86159116479052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0528"/>
      </c:barChart>
      <c:catAx>
        <c:axId val="156936448"/>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53799.48583935936</c:v>
                </c:pt>
                <c:pt idx="1">
                  <c:v>46954.587365736676</c:v>
                </c:pt>
                <c:pt idx="2">
                  <c:v>312.23449037878686</c:v>
                </c:pt>
                <c:pt idx="3">
                  <c:v>29638.719886499057</c:v>
                </c:pt>
                <c:pt idx="4">
                  <c:v>23022.459780285462</c:v>
                </c:pt>
                <c:pt idx="5">
                  <c:v>265813.11429777252</c:v>
                </c:pt>
                <c:pt idx="6">
                  <c:v>996.86159116479052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46003</v>
      </c>
      <c r="B6" s="415"/>
      <c r="C6" s="416"/>
    </row>
    <row r="7" spans="1:7" s="413" customFormat="1" ht="15.75" customHeight="1">
      <c r="A7" s="417" t="str">
        <f>txtMunicipality</f>
        <v>BEVEREN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19723</v>
      </c>
      <c r="C9" s="342">
        <v>20115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6912.35</v>
      </c>
    </row>
    <row r="15" spans="1:6">
      <c r="A15" s="348" t="s">
        <v>184</v>
      </c>
      <c r="B15" s="334">
        <v>42</v>
      </c>
    </row>
    <row r="16" spans="1:6">
      <c r="A16" s="348" t="s">
        <v>6</v>
      </c>
      <c r="B16" s="334">
        <v>1857</v>
      </c>
    </row>
    <row r="17" spans="1:6">
      <c r="A17" s="348" t="s">
        <v>7</v>
      </c>
      <c r="B17" s="334">
        <v>2333</v>
      </c>
    </row>
    <row r="18" spans="1:6">
      <c r="A18" s="348" t="s">
        <v>8</v>
      </c>
      <c r="B18" s="334">
        <v>3237</v>
      </c>
    </row>
    <row r="19" spans="1:6">
      <c r="A19" s="348" t="s">
        <v>9</v>
      </c>
      <c r="B19" s="334">
        <v>3035</v>
      </c>
    </row>
    <row r="20" spans="1:6">
      <c r="A20" s="348" t="s">
        <v>10</v>
      </c>
      <c r="B20" s="334">
        <v>1670</v>
      </c>
    </row>
    <row r="21" spans="1:6">
      <c r="A21" s="348" t="s">
        <v>11</v>
      </c>
      <c r="B21" s="334">
        <v>21713</v>
      </c>
    </row>
    <row r="22" spans="1:6">
      <c r="A22" s="348" t="s">
        <v>12</v>
      </c>
      <c r="B22" s="334">
        <v>45075</v>
      </c>
    </row>
    <row r="23" spans="1:6">
      <c r="A23" s="348" t="s">
        <v>13</v>
      </c>
      <c r="B23" s="334">
        <v>830</v>
      </c>
    </row>
    <row r="24" spans="1:6">
      <c r="A24" s="348" t="s">
        <v>14</v>
      </c>
      <c r="B24" s="334">
        <v>34</v>
      </c>
    </row>
    <row r="25" spans="1:6">
      <c r="A25" s="348" t="s">
        <v>15</v>
      </c>
      <c r="B25" s="334">
        <v>5021</v>
      </c>
    </row>
    <row r="26" spans="1:6">
      <c r="A26" s="348" t="s">
        <v>16</v>
      </c>
      <c r="B26" s="334">
        <v>115</v>
      </c>
    </row>
    <row r="27" spans="1:6">
      <c r="A27" s="348" t="s">
        <v>17</v>
      </c>
      <c r="B27" s="334">
        <v>220</v>
      </c>
    </row>
    <row r="28" spans="1:6" s="356" customFormat="1">
      <c r="A28" s="355" t="s">
        <v>18</v>
      </c>
      <c r="B28" s="355">
        <v>617578</v>
      </c>
    </row>
    <row r="29" spans="1:6">
      <c r="A29" s="355" t="s">
        <v>744</v>
      </c>
      <c r="B29" s="355">
        <v>384</v>
      </c>
      <c r="C29" s="356"/>
      <c r="D29" s="356"/>
      <c r="E29" s="356"/>
      <c r="F29" s="356"/>
    </row>
    <row r="30" spans="1:6">
      <c r="A30" s="341" t="s">
        <v>745</v>
      </c>
      <c r="B30" s="341">
        <v>68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5</v>
      </c>
      <c r="F35" s="334">
        <v>136138.18088313899</v>
      </c>
    </row>
    <row r="36" spans="1:6">
      <c r="A36" s="348" t="s">
        <v>25</v>
      </c>
      <c r="B36" s="348" t="s">
        <v>27</v>
      </c>
      <c r="C36" s="334">
        <v>0</v>
      </c>
      <c r="D36" s="334">
        <v>0</v>
      </c>
      <c r="E36" s="334">
        <v>37</v>
      </c>
      <c r="F36" s="334">
        <v>2042973.97760564</v>
      </c>
    </row>
    <row r="37" spans="1:6">
      <c r="A37" s="348" t="s">
        <v>25</v>
      </c>
      <c r="B37" s="348" t="s">
        <v>28</v>
      </c>
      <c r="C37" s="334">
        <v>0</v>
      </c>
      <c r="D37" s="334">
        <v>0</v>
      </c>
      <c r="E37" s="334">
        <v>0</v>
      </c>
      <c r="F37" s="334">
        <v>0</v>
      </c>
    </row>
    <row r="38" spans="1:6">
      <c r="A38" s="348" t="s">
        <v>25</v>
      </c>
      <c r="B38" s="348" t="s">
        <v>29</v>
      </c>
      <c r="C38" s="334">
        <v>5</v>
      </c>
      <c r="D38" s="334">
        <v>17429438.204817299</v>
      </c>
      <c r="E38" s="334">
        <v>1</v>
      </c>
      <c r="F38" s="334">
        <v>2190.5829006375998</v>
      </c>
    </row>
    <row r="39" spans="1:6">
      <c r="A39" s="348" t="s">
        <v>30</v>
      </c>
      <c r="B39" s="348" t="s">
        <v>31</v>
      </c>
      <c r="C39" s="334">
        <v>14765</v>
      </c>
      <c r="D39" s="334">
        <v>225442511.86030501</v>
      </c>
      <c r="E39" s="334">
        <v>19853</v>
      </c>
      <c r="F39" s="334">
        <v>83469649.5874791</v>
      </c>
    </row>
    <row r="40" spans="1:6">
      <c r="A40" s="348" t="s">
        <v>30</v>
      </c>
      <c r="B40" s="348" t="s">
        <v>29</v>
      </c>
      <c r="C40" s="334">
        <v>0</v>
      </c>
      <c r="D40" s="334">
        <v>0</v>
      </c>
      <c r="E40" s="334">
        <v>0</v>
      </c>
      <c r="F40" s="334">
        <v>0</v>
      </c>
    </row>
    <row r="41" spans="1:6">
      <c r="A41" s="348" t="s">
        <v>32</v>
      </c>
      <c r="B41" s="348" t="s">
        <v>33</v>
      </c>
      <c r="C41" s="334">
        <v>215</v>
      </c>
      <c r="D41" s="334">
        <v>25839169.994316898</v>
      </c>
      <c r="E41" s="334">
        <v>440</v>
      </c>
      <c r="F41" s="334">
        <v>6705657.76890752</v>
      </c>
    </row>
    <row r="42" spans="1:6">
      <c r="A42" s="348" t="s">
        <v>32</v>
      </c>
      <c r="B42" s="348" t="s">
        <v>34</v>
      </c>
      <c r="C42" s="334">
        <v>0</v>
      </c>
      <c r="D42" s="334">
        <v>0</v>
      </c>
      <c r="E42" s="334">
        <v>7</v>
      </c>
      <c r="F42" s="334">
        <v>18906307.706280701</v>
      </c>
    </row>
    <row r="43" spans="1:6">
      <c r="A43" s="348" t="s">
        <v>32</v>
      </c>
      <c r="B43" s="348" t="s">
        <v>35</v>
      </c>
      <c r="C43" s="334">
        <v>0</v>
      </c>
      <c r="D43" s="334">
        <v>0</v>
      </c>
      <c r="E43" s="334">
        <v>0</v>
      </c>
      <c r="F43" s="334">
        <v>0</v>
      </c>
    </row>
    <row r="44" spans="1:6">
      <c r="A44" s="348" t="s">
        <v>32</v>
      </c>
      <c r="B44" s="348" t="s">
        <v>36</v>
      </c>
      <c r="C44" s="334">
        <v>3</v>
      </c>
      <c r="D44" s="334">
        <v>84329.355330956198</v>
      </c>
      <c r="E44" s="334">
        <v>33</v>
      </c>
      <c r="F44" s="334">
        <v>636457.24737402401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56598.1337148444</v>
      </c>
      <c r="E47" s="334">
        <v>7</v>
      </c>
      <c r="F47" s="334">
        <v>269449.54961211799</v>
      </c>
    </row>
    <row r="48" spans="1:6">
      <c r="A48" s="348" t="s">
        <v>32</v>
      </c>
      <c r="B48" s="348" t="s">
        <v>29</v>
      </c>
      <c r="C48" s="334">
        <v>51</v>
      </c>
      <c r="D48" s="334">
        <v>29385465.526123799</v>
      </c>
      <c r="E48" s="334">
        <v>84</v>
      </c>
      <c r="F48" s="334">
        <v>46664384.710576698</v>
      </c>
    </row>
    <row r="49" spans="1:6">
      <c r="A49" s="348" t="s">
        <v>32</v>
      </c>
      <c r="B49" s="348" t="s">
        <v>40</v>
      </c>
      <c r="C49" s="334">
        <v>3</v>
      </c>
      <c r="D49" s="334">
        <v>47655.379165812803</v>
      </c>
      <c r="E49" s="334">
        <v>6</v>
      </c>
      <c r="F49" s="334">
        <v>26035.8695551737</v>
      </c>
    </row>
    <row r="50" spans="1:6">
      <c r="A50" s="348" t="s">
        <v>32</v>
      </c>
      <c r="B50" s="348" t="s">
        <v>41</v>
      </c>
      <c r="C50" s="334">
        <v>25</v>
      </c>
      <c r="D50" s="334">
        <v>1725574.5609190401</v>
      </c>
      <c r="E50" s="334">
        <v>28</v>
      </c>
      <c r="F50" s="334">
        <v>1973301.7775616299</v>
      </c>
    </row>
    <row r="51" spans="1:6">
      <c r="A51" s="348" t="s">
        <v>42</v>
      </c>
      <c r="B51" s="348" t="s">
        <v>43</v>
      </c>
      <c r="C51" s="334">
        <v>60</v>
      </c>
      <c r="D51" s="334">
        <v>152094215.72549099</v>
      </c>
      <c r="E51" s="334">
        <v>350</v>
      </c>
      <c r="F51" s="334">
        <v>10583352.287945401</v>
      </c>
    </row>
    <row r="52" spans="1:6">
      <c r="A52" s="348" t="s">
        <v>42</v>
      </c>
      <c r="B52" s="348" t="s">
        <v>29</v>
      </c>
      <c r="C52" s="334">
        <v>9</v>
      </c>
      <c r="D52" s="334">
        <v>177273.95701711101</v>
      </c>
      <c r="E52" s="334">
        <v>8</v>
      </c>
      <c r="F52" s="334">
        <v>152102.037778167</v>
      </c>
    </row>
    <row r="53" spans="1:6">
      <c r="A53" s="348" t="s">
        <v>44</v>
      </c>
      <c r="B53" s="348" t="s">
        <v>45</v>
      </c>
      <c r="C53" s="334">
        <v>344</v>
      </c>
      <c r="D53" s="334">
        <v>6348040.25305048</v>
      </c>
      <c r="E53" s="334">
        <v>745</v>
      </c>
      <c r="F53" s="334">
        <v>7592872.9582333304</v>
      </c>
    </row>
    <row r="54" spans="1:6">
      <c r="A54" s="348" t="s">
        <v>46</v>
      </c>
      <c r="B54" s="348" t="s">
        <v>47</v>
      </c>
      <c r="C54" s="334">
        <v>0</v>
      </c>
      <c r="D54" s="334">
        <v>0</v>
      </c>
      <c r="E54" s="334">
        <v>1</v>
      </c>
      <c r="F54" s="334">
        <v>2951721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138</v>
      </c>
      <c r="D57" s="334">
        <v>10292541.545811299</v>
      </c>
      <c r="E57" s="334">
        <v>215</v>
      </c>
      <c r="F57" s="334">
        <v>7468102.0075318096</v>
      </c>
    </row>
    <row r="58" spans="1:6">
      <c r="A58" s="348" t="s">
        <v>49</v>
      </c>
      <c r="B58" s="348" t="s">
        <v>51</v>
      </c>
      <c r="C58" s="334">
        <v>52</v>
      </c>
      <c r="D58" s="334">
        <v>3155525.06619344</v>
      </c>
      <c r="E58" s="334">
        <v>76</v>
      </c>
      <c r="F58" s="334">
        <v>2610990.9631726802</v>
      </c>
    </row>
    <row r="59" spans="1:6">
      <c r="A59" s="348" t="s">
        <v>49</v>
      </c>
      <c r="B59" s="348" t="s">
        <v>52</v>
      </c>
      <c r="C59" s="334">
        <v>282</v>
      </c>
      <c r="D59" s="334">
        <v>10027911.736564999</v>
      </c>
      <c r="E59" s="334">
        <v>581</v>
      </c>
      <c r="F59" s="334">
        <v>21358259.702874102</v>
      </c>
    </row>
    <row r="60" spans="1:6">
      <c r="A60" s="348" t="s">
        <v>49</v>
      </c>
      <c r="B60" s="348" t="s">
        <v>53</v>
      </c>
      <c r="C60" s="334">
        <v>136</v>
      </c>
      <c r="D60" s="334">
        <v>5198980.44819031</v>
      </c>
      <c r="E60" s="334">
        <v>187</v>
      </c>
      <c r="F60" s="334">
        <v>3726137.9813242299</v>
      </c>
    </row>
    <row r="61" spans="1:6">
      <c r="A61" s="348" t="s">
        <v>49</v>
      </c>
      <c r="B61" s="348" t="s">
        <v>54</v>
      </c>
      <c r="C61" s="334">
        <v>424</v>
      </c>
      <c r="D61" s="334">
        <v>26678790.3757765</v>
      </c>
      <c r="E61" s="334">
        <v>777</v>
      </c>
      <c r="F61" s="334">
        <v>101303236.67016</v>
      </c>
    </row>
    <row r="62" spans="1:6">
      <c r="A62" s="348" t="s">
        <v>49</v>
      </c>
      <c r="B62" s="348" t="s">
        <v>55</v>
      </c>
      <c r="C62" s="334">
        <v>27</v>
      </c>
      <c r="D62" s="334">
        <v>2385468.0176199502</v>
      </c>
      <c r="E62" s="334">
        <v>35</v>
      </c>
      <c r="F62" s="334">
        <v>1061572.1424581499</v>
      </c>
    </row>
    <row r="63" spans="1:6">
      <c r="A63" s="348" t="s">
        <v>49</v>
      </c>
      <c r="B63" s="348" t="s">
        <v>29</v>
      </c>
      <c r="C63" s="334">
        <v>158</v>
      </c>
      <c r="D63" s="334">
        <v>62485453.1571602</v>
      </c>
      <c r="E63" s="334">
        <v>166</v>
      </c>
      <c r="F63" s="334">
        <v>16087869.8420678</v>
      </c>
    </row>
    <row r="64" spans="1:6">
      <c r="A64" s="348" t="s">
        <v>56</v>
      </c>
      <c r="B64" s="348" t="s">
        <v>57</v>
      </c>
      <c r="C64" s="334">
        <v>0</v>
      </c>
      <c r="D64" s="334">
        <v>0</v>
      </c>
      <c r="E64" s="334">
        <v>0</v>
      </c>
      <c r="F64" s="334">
        <v>0</v>
      </c>
    </row>
    <row r="65" spans="1:6">
      <c r="A65" s="348" t="s">
        <v>56</v>
      </c>
      <c r="B65" s="348" t="s">
        <v>29</v>
      </c>
      <c r="C65" s="334">
        <v>5</v>
      </c>
      <c r="D65" s="334">
        <v>2663708.0798068098</v>
      </c>
      <c r="E65" s="334">
        <v>6</v>
      </c>
      <c r="F65" s="334">
        <v>1890832.16688267</v>
      </c>
    </row>
    <row r="66" spans="1:6">
      <c r="A66" s="348" t="s">
        <v>56</v>
      </c>
      <c r="B66" s="348" t="s">
        <v>58</v>
      </c>
      <c r="C66" s="334">
        <v>0</v>
      </c>
      <c r="D66" s="334">
        <v>0</v>
      </c>
      <c r="E66" s="334">
        <v>32</v>
      </c>
      <c r="F66" s="334">
        <v>3985074.2999579301</v>
      </c>
    </row>
    <row r="67" spans="1:6">
      <c r="A67" s="355" t="s">
        <v>56</v>
      </c>
      <c r="B67" s="355" t="s">
        <v>59</v>
      </c>
      <c r="C67" s="334">
        <v>0</v>
      </c>
      <c r="D67" s="334">
        <v>0</v>
      </c>
      <c r="E67" s="334">
        <v>0</v>
      </c>
      <c r="F67" s="334">
        <v>0</v>
      </c>
    </row>
    <row r="68" spans="1:6">
      <c r="A68" s="341" t="s">
        <v>56</v>
      </c>
      <c r="B68" s="341" t="s">
        <v>60</v>
      </c>
      <c r="C68" s="334">
        <v>10</v>
      </c>
      <c r="D68" s="334">
        <v>363577.31189558399</v>
      </c>
      <c r="E68" s="334">
        <v>40</v>
      </c>
      <c r="F68" s="334">
        <v>980310.75164399005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284068194</v>
      </c>
      <c r="E73" s="476">
        <v>181448941.13965991</v>
      </c>
    </row>
    <row r="74" spans="1:6">
      <c r="A74" s="348" t="s">
        <v>64</v>
      </c>
      <c r="B74" s="348" t="s">
        <v>657</v>
      </c>
      <c r="C74" s="1213" t="s">
        <v>659</v>
      </c>
      <c r="D74" s="476">
        <v>53943986.775220476</v>
      </c>
      <c r="E74" s="476">
        <v>31502312.612434216</v>
      </c>
    </row>
    <row r="75" spans="1:6">
      <c r="A75" s="348" t="s">
        <v>65</v>
      </c>
      <c r="B75" s="348" t="s">
        <v>656</v>
      </c>
      <c r="C75" s="1213" t="s">
        <v>660</v>
      </c>
      <c r="D75" s="476">
        <v>180978590</v>
      </c>
      <c r="E75" s="476">
        <v>127849365.64532027</v>
      </c>
    </row>
    <row r="76" spans="1:6">
      <c r="A76" s="348" t="s">
        <v>65</v>
      </c>
      <c r="B76" s="348" t="s">
        <v>657</v>
      </c>
      <c r="C76" s="1213" t="s">
        <v>661</v>
      </c>
      <c r="D76" s="476">
        <v>35309496.775220476</v>
      </c>
      <c r="E76" s="476">
        <v>21783597.186458554</v>
      </c>
    </row>
    <row r="77" spans="1:6">
      <c r="A77" s="348" t="s">
        <v>66</v>
      </c>
      <c r="B77" s="348" t="s">
        <v>656</v>
      </c>
      <c r="C77" s="1213" t="s">
        <v>662</v>
      </c>
      <c r="D77" s="476">
        <v>319619802</v>
      </c>
      <c r="E77" s="476">
        <v>329335509.8866815</v>
      </c>
    </row>
    <row r="78" spans="1:6">
      <c r="A78" s="341" t="s">
        <v>66</v>
      </c>
      <c r="B78" s="341" t="s">
        <v>657</v>
      </c>
      <c r="C78" s="341" t="s">
        <v>663</v>
      </c>
      <c r="D78" s="1214">
        <v>91505526</v>
      </c>
      <c r="E78" s="1214">
        <v>93221529.289531812</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1070116.4495590457</v>
      </c>
      <c r="C83" s="476">
        <v>1066007.454748821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111952.98052691984</v>
      </c>
    </row>
    <row r="91" spans="1:6">
      <c r="A91" s="348" t="s">
        <v>68</v>
      </c>
      <c r="B91" s="334">
        <v>11858.15753571708</v>
      </c>
    </row>
    <row r="92" spans="1:6">
      <c r="A92" s="341" t="s">
        <v>69</v>
      </c>
      <c r="B92" s="342">
        <v>34334.273223490971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2</v>
      </c>
      <c r="C122" s="334">
        <v>0</v>
      </c>
    </row>
    <row r="123" spans="1:6">
      <c r="A123" s="348" t="s">
        <v>88</v>
      </c>
      <c r="B123" s="334">
        <v>65</v>
      </c>
      <c r="C123" s="334">
        <v>205</v>
      </c>
    </row>
    <row r="124" spans="1:6">
      <c r="A124" s="341" t="s">
        <v>89</v>
      </c>
      <c r="B124" s="334">
        <v>1</v>
      </c>
      <c r="C124" s="334">
        <v>26</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603</v>
      </c>
    </row>
    <row r="130" spans="1:6">
      <c r="A130" s="348" t="s">
        <v>295</v>
      </c>
      <c r="B130" s="334">
        <v>9</v>
      </c>
    </row>
    <row r="131" spans="1:6">
      <c r="A131" s="348" t="s">
        <v>296</v>
      </c>
      <c r="B131" s="334">
        <v>3</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374295.43682327855</v>
      </c>
      <c r="C3" s="43" t="s">
        <v>170</v>
      </c>
      <c r="D3" s="43"/>
      <c r="E3" s="154"/>
      <c r="F3" s="43"/>
      <c r="G3" s="43"/>
      <c r="H3" s="43"/>
      <c r="I3" s="43"/>
      <c r="J3" s="43"/>
      <c r="K3" s="96"/>
    </row>
    <row r="4" spans="1:11">
      <c r="A4" s="383" t="s">
        <v>171</v>
      </c>
      <c r="B4" s="49">
        <f>IF(ISERROR('SEAP template'!B69),0,'SEAP template'!B69)</f>
        <v>269819.06128612789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16503.875294117646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0.10578048886693114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23576.964705882358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159533.78571428574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0.1477866559758515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2951.721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2951.721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0.10578048886693114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312.23449037878686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83469.6495874791</v>
      </c>
      <c r="C5" s="17">
        <f>IF(ISERROR('Eigen informatie GS &amp; warmtenet'!B57),0,'Eigen informatie GS &amp; warmtenet'!B57)</f>
        <v>0</v>
      </c>
      <c r="D5" s="30">
        <f>(SUM(HH_hh_gas_kWh,HH_rest_gas_kWh)/1000)*0.902</f>
        <v>203349.14569799512</v>
      </c>
      <c r="E5" s="17">
        <f>B46*B57</f>
        <v>4114.8629660214347</v>
      </c>
      <c r="F5" s="17">
        <f>B51*B62</f>
        <v>0</v>
      </c>
      <c r="G5" s="18"/>
      <c r="H5" s="17"/>
      <c r="I5" s="17"/>
      <c r="J5" s="17">
        <f>B50*B61+C50*C61</f>
        <v>4816.5606637662831</v>
      </c>
      <c r="K5" s="17"/>
      <c r="L5" s="17"/>
      <c r="M5" s="17"/>
      <c r="N5" s="17">
        <f>B48*B59+C48*C59</f>
        <v>33318.350041816011</v>
      </c>
      <c r="O5" s="17">
        <f>B69*B70*B71</f>
        <v>1303.8200000000002</v>
      </c>
      <c r="P5" s="17">
        <f>B77*B78*B79/1000-B77*B78*B79/1000/B80</f>
        <v>2078.2666666666664</v>
      </c>
    </row>
    <row r="6" spans="1:16">
      <c r="A6" s="16" t="s">
        <v>621</v>
      </c>
      <c r="B6" s="843">
        <f>kWh_PV_kleiner_dan_10kW</f>
        <v>11858.15753571708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95327.80712319618</v>
      </c>
      <c r="C8" s="21">
        <f>C5</f>
        <v>0</v>
      </c>
      <c r="D8" s="21">
        <f>D5</f>
        <v>203349.14569799512</v>
      </c>
      <c r="E8" s="21">
        <f>E5</f>
        <v>4114.8629660214347</v>
      </c>
      <c r="F8" s="21">
        <f>F5</f>
        <v>0</v>
      </c>
      <c r="G8" s="21"/>
      <c r="H8" s="21"/>
      <c r="I8" s="21"/>
      <c r="J8" s="21">
        <f>J5</f>
        <v>4816.5606637662831</v>
      </c>
      <c r="K8" s="21"/>
      <c r="L8" s="21">
        <f>L5</f>
        <v>0</v>
      </c>
      <c r="M8" s="21">
        <f>M5</f>
        <v>0</v>
      </c>
      <c r="N8" s="21">
        <f>N5</f>
        <v>33318.350041816011</v>
      </c>
      <c r="O8" s="21">
        <f>O5</f>
        <v>1303.8200000000002</v>
      </c>
      <c r="P8" s="21">
        <f>P5</f>
        <v>2078.2666666666664</v>
      </c>
    </row>
    <row r="9" spans="1:16">
      <c r="B9" s="19"/>
      <c r="C9" s="19"/>
      <c r="D9" s="258"/>
      <c r="E9" s="19"/>
      <c r="F9" s="19"/>
      <c r="G9" s="19"/>
      <c r="H9" s="19"/>
      <c r="I9" s="19"/>
      <c r="J9" s="19"/>
      <c r="K9" s="19"/>
      <c r="L9" s="19"/>
      <c r="M9" s="19"/>
      <c r="N9" s="19"/>
      <c r="O9" s="19"/>
      <c r="P9" s="19"/>
    </row>
    <row r="10" spans="1:16">
      <c r="A10" s="24" t="s">
        <v>214</v>
      </c>
      <c r="B10" s="25">
        <f ca="1">'EF ele_warmte'!B12</f>
        <v>0.10578048886693114</v>
      </c>
      <c r="C10" s="25">
        <f ca="1">'EF ele_warmte'!B22</f>
        <v>0.1477866559758515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10083.822040104213</v>
      </c>
      <c r="C12" s="23">
        <f ca="1">C10*C8</f>
        <v>0</v>
      </c>
      <c r="D12" s="23">
        <f>D8*D10</f>
        <v>41076.527430995018</v>
      </c>
      <c r="E12" s="23">
        <f>E10*E8</f>
        <v>934.07389328686565</v>
      </c>
      <c r="F12" s="23">
        <f>F10*F8</f>
        <v>0</v>
      </c>
      <c r="G12" s="23"/>
      <c r="H12" s="23"/>
      <c r="I12" s="23"/>
      <c r="J12" s="23">
        <f>J10*J8</f>
        <v>1705.0624749732642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794</v>
      </c>
      <c r="B28" s="37">
        <f>aantalHuishoudens2011</f>
        <v>19723</v>
      </c>
      <c r="C28" s="36"/>
      <c r="D28" s="228"/>
    </row>
    <row r="29" spans="1:7" s="15" customFormat="1">
      <c r="A29" s="230" t="s">
        <v>795</v>
      </c>
      <c r="B29" s="37">
        <f>SUM(HH_hh_gas_aantal,HH_rest_gas_aantal)</f>
        <v>14765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14765</v>
      </c>
      <c r="C32" s="167">
        <f>IF(ISERROR(B32/SUM($B$32,$B$34,$B$35,$B$36,$B$38,$B$39)*100),0,B32/SUM($B$32,$B$34,$B$35,$B$36,$B$38,$B$39)*100)</f>
        <v>75.277862751096166</v>
      </c>
      <c r="D32" s="233"/>
      <c r="G32" s="15"/>
    </row>
    <row r="33" spans="1:7">
      <c r="A33" s="171" t="s">
        <v>72</v>
      </c>
      <c r="B33" s="34" t="s">
        <v>111</v>
      </c>
      <c r="C33" s="167"/>
      <c r="D33" s="233"/>
      <c r="G33" s="15"/>
    </row>
    <row r="34" spans="1:7">
      <c r="A34" s="171" t="s">
        <v>73</v>
      </c>
      <c r="B34" s="33">
        <f>IF((($B$28-$B$32-$B$39-$B$77-$B$38)*C20/100)&lt;0,0,($B$28-$B$32-$B$39-$B$77-$B$38)*C20/100)</f>
        <v>194.34083720930232</v>
      </c>
      <c r="C34" s="167">
        <f>IF(ISERROR(B34/SUM($B$32,$B$34,$B$35,$B$36,$B$38,$B$39)*100),0,B34/SUM($B$32,$B$34,$B$35,$B$36,$B$38,$B$39)*100)</f>
        <v>0.9908271500423288</v>
      </c>
      <c r="D34" s="233"/>
      <c r="G34" s="15"/>
    </row>
    <row r="35" spans="1:7">
      <c r="A35" s="171" t="s">
        <v>74</v>
      </c>
      <c r="B35" s="33">
        <f>IF((($B$28-$B$32-$B$39-$B$77-$B$38)*C21/100)&lt;0,0,($B$28-$B$32-$B$39-$B$77-$B$38)*C21/100)</f>
        <v>4056.3170232558132</v>
      </c>
      <c r="C35" s="167">
        <f>IF(ISERROR(B35/SUM($B$32,$B$34,$B$35,$B$36,$B$38,$B$39)*100),0,B35/SUM($B$32,$B$34,$B$35,$B$36,$B$38,$B$39)*100)</f>
        <v>20.68072307156018</v>
      </c>
      <c r="D35" s="233"/>
      <c r="G35" s="15"/>
    </row>
    <row r="36" spans="1:7">
      <c r="A36" s="171" t="s">
        <v>75</v>
      </c>
      <c r="B36" s="33">
        <f>IF((($B$28-$B$32-$B$39-$B$77-$B$38)*C22/100)&lt;0,0,($B$28-$B$32-$B$39-$B$77-$B$38)*C22/100)</f>
        <v>461.74213953488368</v>
      </c>
      <c r="C36" s="167">
        <f>IF(ISERROR(B36/SUM($B$32,$B$34,$B$35,$B$36,$B$38,$B$39)*100),0,B36/SUM($B$32,$B$34,$B$35,$B$36,$B$38,$B$39)*100)</f>
        <v>2.3541457098750067</v>
      </c>
      <c r="D36" s="233"/>
      <c r="G36" s="15"/>
    </row>
    <row r="37" spans="1:7">
      <c r="A37" s="171" t="s">
        <v>76</v>
      </c>
      <c r="B37" s="34" t="s">
        <v>111</v>
      </c>
      <c r="C37" s="167"/>
      <c r="D37" s="173"/>
      <c r="G37" s="15"/>
    </row>
    <row r="38" spans="1:7">
      <c r="A38" s="171" t="s">
        <v>77</v>
      </c>
      <c r="B38" s="33">
        <f>IF((B24-(B29-B18)*0.1)&lt;0,0,B24-(B29-B18)*0.1)</f>
        <v>136.59999999999997</v>
      </c>
      <c r="C38" s="167">
        <f>IF(ISERROR(B38/SUM($B$32,$B$34,$B$35,$B$36,$B$38,$B$39)*100),0,B38/SUM($B$32,$B$34,$B$35,$B$36,$B$38,$B$39)*100)</f>
        <v>0.69644131742632809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14765</v>
      </c>
      <c r="C44" s="34" t="s">
        <v>111</v>
      </c>
      <c r="D44" s="174"/>
    </row>
    <row r="45" spans="1:7">
      <c r="A45" s="171" t="s">
        <v>72</v>
      </c>
      <c r="B45" s="33" t="str">
        <f t="shared" si="0"/>
        <v>-</v>
      </c>
      <c r="C45" s="34" t="s">
        <v>111</v>
      </c>
      <c r="D45" s="174"/>
    </row>
    <row r="46" spans="1:7">
      <c r="A46" s="171" t="s">
        <v>73</v>
      </c>
      <c r="B46" s="33">
        <f t="shared" si="0"/>
        <v>194.34083720930232</v>
      </c>
      <c r="C46" s="34" t="s">
        <v>111</v>
      </c>
      <c r="D46" s="174"/>
    </row>
    <row r="47" spans="1:7">
      <c r="A47" s="171" t="s">
        <v>74</v>
      </c>
      <c r="B47" s="33">
        <f t="shared" si="0"/>
        <v>4056.3170232558132</v>
      </c>
      <c r="C47" s="34" t="s">
        <v>111</v>
      </c>
      <c r="D47" s="174"/>
    </row>
    <row r="48" spans="1:7">
      <c r="A48" s="171" t="s">
        <v>75</v>
      </c>
      <c r="B48" s="33">
        <f t="shared" si="0"/>
        <v>461.74213953488368</v>
      </c>
      <c r="C48" s="33">
        <f>B48*10</f>
        <v>4617.421395348837</v>
      </c>
      <c r="D48" s="234"/>
    </row>
    <row r="49" spans="1:6">
      <c r="A49" s="171" t="s">
        <v>76</v>
      </c>
      <c r="B49" s="33" t="str">
        <f t="shared" si="0"/>
        <v>-</v>
      </c>
      <c r="C49" s="34" t="s">
        <v>111</v>
      </c>
      <c r="D49" s="234"/>
    </row>
    <row r="50" spans="1:6">
      <c r="A50" s="171" t="s">
        <v>77</v>
      </c>
      <c r="B50" s="33">
        <f t="shared" si="0"/>
        <v>136.59999999999997</v>
      </c>
      <c r="C50" s="33">
        <f>B50*2</f>
        <v>273.19999999999993</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153616.16930958876</v>
      </c>
      <c r="C5" s="17">
        <f>IF(ISERROR('Eigen informatie GS &amp; warmtenet'!B58),0,'Eigen informatie GS &amp; warmtenet'!B58)</f>
        <v>0</v>
      </c>
      <c r="D5" s="30">
        <f>SUM(D6:D12)</f>
        <v>108442.65265327966</v>
      </c>
      <c r="E5" s="17">
        <f>SUM(E6:E12)</f>
        <v>1053.5155381784639</v>
      </c>
      <c r="F5" s="17">
        <f>SUM(F6:F12)</f>
        <v>25118.567404209265</v>
      </c>
      <c r="G5" s="18"/>
      <c r="H5" s="17"/>
      <c r="I5" s="17"/>
      <c r="J5" s="17">
        <f>SUM(J6:J12)</f>
        <v>0.20106040325634891</v>
      </c>
      <c r="K5" s="17"/>
      <c r="L5" s="17"/>
      <c r="M5" s="17"/>
      <c r="N5" s="17">
        <f>SUM(N6:N12)</f>
        <v>8070.4416682866122</v>
      </c>
      <c r="O5" s="17">
        <f>B38*B39*B40</f>
        <v>14.070000000000002</v>
      </c>
      <c r="P5" s="17">
        <f>B46*B47*B48/1000-B46*B47*B48/1000/B49</f>
        <v>114.4</v>
      </c>
      <c r="R5" s="32"/>
    </row>
    <row r="6" spans="1:18">
      <c r="A6" s="32" t="s">
        <v>54</v>
      </c>
      <c r="B6" s="37">
        <f>B26</f>
        <v>101303.23667016</v>
      </c>
      <c r="C6" s="33"/>
      <c r="D6" s="37">
        <f>IF(ISERROR(TER_kantoor_gas_kWh/1000),0,TER_kantoor_gas_kWh/1000)*0.902</f>
        <v>24064.268918950402</v>
      </c>
      <c r="E6" s="33">
        <f>$C$26*'E Balans VL '!I12/100/3.6*1000000</f>
        <v>0.63493499451989355</v>
      </c>
      <c r="F6" s="33">
        <f>$C$26*('E Balans VL '!L12+'E Balans VL '!N12)/100/3.6*1000000</f>
        <v>15223.045789119649</v>
      </c>
      <c r="G6" s="34"/>
      <c r="H6" s="33"/>
      <c r="I6" s="33"/>
      <c r="J6" s="33">
        <f>$C$26*('E Balans VL '!D12+'E Balans VL '!E12)/100/3.6*1000000</f>
        <v>0</v>
      </c>
      <c r="K6" s="33"/>
      <c r="L6" s="33"/>
      <c r="M6" s="33"/>
      <c r="N6" s="33">
        <f>$C$26*'E Balans VL '!Y12/100/3.6*1000000</f>
        <v>96.881526021830425</v>
      </c>
      <c r="O6" s="33"/>
      <c r="P6" s="33"/>
      <c r="R6" s="32"/>
    </row>
    <row r="7" spans="1:18">
      <c r="A7" s="32" t="s">
        <v>53</v>
      </c>
      <c r="B7" s="37">
        <f t="shared" ref="B7:B12" si="0">B27</f>
        <v>3726.1379813242297</v>
      </c>
      <c r="C7" s="33"/>
      <c r="D7" s="37">
        <f>IF(ISERROR(TER_horeca_gas_kWh/1000),0,TER_horeca_gas_kWh/1000)*0.902</f>
        <v>4689.4803642676598</v>
      </c>
      <c r="E7" s="33">
        <f>$C$27*'E Balans VL '!I9/100/3.6*1000000</f>
        <v>53.357675236457354</v>
      </c>
      <c r="F7" s="33">
        <f>$C$27*('E Balans VL '!L9+'E Balans VL '!N9)/100/3.6*1000000</f>
        <v>471.85196120082156</v>
      </c>
      <c r="G7" s="34"/>
      <c r="H7" s="33"/>
      <c r="I7" s="33"/>
      <c r="J7" s="33">
        <f>$C$27*('E Balans VL '!D9+'E Balans VL '!E9)/100/3.6*1000000</f>
        <v>0</v>
      </c>
      <c r="K7" s="33"/>
      <c r="L7" s="33"/>
      <c r="M7" s="33"/>
      <c r="N7" s="33">
        <f>$C$27*'E Balans VL '!Y9/100/3.6*1000000</f>
        <v>1.0711825153403247</v>
      </c>
      <c r="O7" s="33"/>
      <c r="P7" s="33"/>
      <c r="R7" s="32"/>
    </row>
    <row r="8" spans="1:18">
      <c r="A8" s="6" t="s">
        <v>52</v>
      </c>
      <c r="B8" s="37">
        <f t="shared" si="0"/>
        <v>21358.2597028741</v>
      </c>
      <c r="C8" s="33"/>
      <c r="D8" s="37">
        <f>IF(ISERROR(TER_handel_gas_kWh/1000),0,TER_handel_gas_kWh/1000)*0.902</f>
        <v>9045.1763863816304</v>
      </c>
      <c r="E8" s="33">
        <f>$C$28*'E Balans VL '!I13/100/3.6*1000000</f>
        <v>774.66144564065473</v>
      </c>
      <c r="F8" s="33">
        <f>$C$28*('E Balans VL '!L13+'E Balans VL '!N13)/100/3.6*1000000</f>
        <v>4113.8170849028156</v>
      </c>
      <c r="G8" s="34"/>
      <c r="H8" s="33"/>
      <c r="I8" s="33"/>
      <c r="J8" s="33">
        <f>$C$28*('E Balans VL '!D13+'E Balans VL '!E13)/100/3.6*1000000</f>
        <v>0</v>
      </c>
      <c r="K8" s="33"/>
      <c r="L8" s="33"/>
      <c r="M8" s="33"/>
      <c r="N8" s="33">
        <f>$C$28*'E Balans VL '!Y13/100/3.6*1000000</f>
        <v>29.586104004866318</v>
      </c>
      <c r="O8" s="33"/>
      <c r="P8" s="33"/>
      <c r="R8" s="32"/>
    </row>
    <row r="9" spans="1:18">
      <c r="A9" s="32" t="s">
        <v>51</v>
      </c>
      <c r="B9" s="37">
        <f t="shared" si="0"/>
        <v>2610.99096317268</v>
      </c>
      <c r="C9" s="33"/>
      <c r="D9" s="37">
        <f>IF(ISERROR(TER_gezond_gas_kWh/1000),0,TER_gezond_gas_kWh/1000)*0.902</f>
        <v>2846.2836097064833</v>
      </c>
      <c r="E9" s="33">
        <f>$C$29*'E Balans VL '!I10/100/3.6*1000000</f>
        <v>0.16347381317314735</v>
      </c>
      <c r="F9" s="33">
        <f>$C$29*('E Balans VL '!L10+'E Balans VL '!N10)/100/3.6*1000000</f>
        <v>387.87065728969401</v>
      </c>
      <c r="G9" s="34"/>
      <c r="H9" s="33"/>
      <c r="I9" s="33"/>
      <c r="J9" s="33">
        <f>$C$29*('E Balans VL '!D10+'E Balans VL '!E10)/100/3.6*1000000</f>
        <v>0</v>
      </c>
      <c r="K9" s="33"/>
      <c r="L9" s="33"/>
      <c r="M9" s="33"/>
      <c r="N9" s="33">
        <f>$C$29*'E Balans VL '!Y10/100/3.6*1000000</f>
        <v>40.387060157447152</v>
      </c>
      <c r="O9" s="33"/>
      <c r="P9" s="33"/>
      <c r="R9" s="32"/>
    </row>
    <row r="10" spans="1:18">
      <c r="A10" s="32" t="s">
        <v>50</v>
      </c>
      <c r="B10" s="37">
        <f t="shared" si="0"/>
        <v>7468.1020075318092</v>
      </c>
      <c r="C10" s="33"/>
      <c r="D10" s="37">
        <f>IF(ISERROR(TER_ander_gas_kWh/1000),0,TER_ander_gas_kWh/1000)*0.902</f>
        <v>9283.8724743217917</v>
      </c>
      <c r="E10" s="33">
        <f>$C$30*'E Balans VL '!I14/100/3.6*1000000</f>
        <v>8.9017107281044083</v>
      </c>
      <c r="F10" s="33">
        <f>$C$30*('E Balans VL '!L14+'E Balans VL '!N14)/100/3.6*1000000</f>
        <v>1953.9874909088023</v>
      </c>
      <c r="G10" s="34"/>
      <c r="H10" s="33"/>
      <c r="I10" s="33"/>
      <c r="J10" s="33">
        <f>$C$30*('E Balans VL '!D14+'E Balans VL '!E14)/100/3.6*1000000</f>
        <v>0.16210322043196274</v>
      </c>
      <c r="K10" s="33"/>
      <c r="L10" s="33"/>
      <c r="M10" s="33"/>
      <c r="N10" s="33">
        <f>$C$30*'E Balans VL '!Y14/100/3.6*1000000</f>
        <v>6341.7294829121638</v>
      </c>
      <c r="O10" s="33"/>
      <c r="P10" s="33"/>
      <c r="R10" s="32"/>
    </row>
    <row r="11" spans="1:18">
      <c r="A11" s="32" t="s">
        <v>55</v>
      </c>
      <c r="B11" s="37">
        <f t="shared" si="0"/>
        <v>1061.57214245815</v>
      </c>
      <c r="C11" s="33"/>
      <c r="D11" s="37">
        <f>IF(ISERROR(TER_onderwijs_gas_kWh/1000),0,TER_onderwijs_gas_kWh/1000)*0.902</f>
        <v>2151.6921518931954</v>
      </c>
      <c r="E11" s="33">
        <f>$C$31*'E Balans VL '!I11/100/3.6*1000000</f>
        <v>16.017413805171365</v>
      </c>
      <c r="F11" s="33">
        <f>$C$31*('E Balans VL '!L11+'E Balans VL '!N11)/100/3.6*1000000</f>
        <v>186.00439847817182</v>
      </c>
      <c r="G11" s="34"/>
      <c r="H11" s="33"/>
      <c r="I11" s="33"/>
      <c r="J11" s="33">
        <f>$C$31*('E Balans VL '!D11+'E Balans VL '!E11)/100/3.6*1000000</f>
        <v>0</v>
      </c>
      <c r="K11" s="33"/>
      <c r="L11" s="33"/>
      <c r="M11" s="33"/>
      <c r="N11" s="33">
        <f>$C$31*'E Balans VL '!Y11/100/3.6*1000000</f>
        <v>2.9873447126648554</v>
      </c>
      <c r="O11" s="33"/>
      <c r="P11" s="33"/>
      <c r="R11" s="32"/>
    </row>
    <row r="12" spans="1:18">
      <c r="A12" s="32" t="s">
        <v>260</v>
      </c>
      <c r="B12" s="37">
        <f t="shared" si="0"/>
        <v>16087.869842067801</v>
      </c>
      <c r="C12" s="33"/>
      <c r="D12" s="37">
        <f>IF(ISERROR(TER_rest_gas_kWh/1000),0,TER_rest_gas_kWh/1000)*0.902</f>
        <v>56361.878747758499</v>
      </c>
      <c r="E12" s="33">
        <f>$C$32*'E Balans VL '!I8/100/3.6*1000000</f>
        <v>199.77888396038293</v>
      </c>
      <c r="F12" s="33">
        <f>$C$32*('E Balans VL '!L8+'E Balans VL '!N8)/100/3.6*1000000</f>
        <v>2781.9900223093073</v>
      </c>
      <c r="G12" s="34"/>
      <c r="H12" s="33"/>
      <c r="I12" s="33"/>
      <c r="J12" s="33">
        <f>$C$32*('E Balans VL '!D8+'E Balans VL '!E8)/100/3.6*1000000</f>
        <v>3.8957182824386177E-2</v>
      </c>
      <c r="K12" s="33"/>
      <c r="L12" s="33"/>
      <c r="M12" s="33"/>
      <c r="N12" s="33">
        <f>$C$32*'E Balans VL '!Y8/100/3.6*1000000</f>
        <v>1557.7989679622995</v>
      </c>
      <c r="O12" s="33"/>
      <c r="P12" s="33"/>
      <c r="R12" s="32"/>
    </row>
    <row r="13" spans="1:18">
      <c r="A13" s="16" t="s">
        <v>488</v>
      </c>
      <c r="B13" s="247">
        <f ca="1">'lokale energieproductie'!N90+'lokale energieproductie'!N59</f>
        <v>22557</v>
      </c>
      <c r="C13" s="247">
        <f ca="1">'lokale energieproductie'!O90+'lokale energieproductie'!O59</f>
        <v>32224.285714285714</v>
      </c>
      <c r="D13" s="310">
        <f ca="1">('lokale energieproductie'!P59+'lokale energieproductie'!P90)*(-1)</f>
        <v>-26211.428571428572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-38237.142857142862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176173.16930958876</v>
      </c>
      <c r="C16" s="21">
        <f t="shared" ca="1" si="1"/>
        <v>32224.285714285714</v>
      </c>
      <c r="D16" s="21">
        <f t="shared" ca="1" si="1"/>
        <v>82231.224081851076</v>
      </c>
      <c r="E16" s="21">
        <f t="shared" si="1"/>
        <v>1053.5155381784639</v>
      </c>
      <c r="F16" s="21">
        <f t="shared" ca="1" si="1"/>
        <v>25118.567404209265</v>
      </c>
      <c r="G16" s="21">
        <f t="shared" si="1"/>
        <v>0</v>
      </c>
      <c r="H16" s="21">
        <f t="shared" si="1"/>
        <v>0</v>
      </c>
      <c r="I16" s="21">
        <f t="shared" si="1"/>
        <v>0</v>
      </c>
      <c r="J16" s="21">
        <f t="shared" si="1"/>
        <v>0.20106040325634891</v>
      </c>
      <c r="K16" s="21">
        <f t="shared" si="1"/>
        <v>0</v>
      </c>
      <c r="L16" s="21">
        <f t="shared" ca="1" si="1"/>
        <v>0</v>
      </c>
      <c r="M16" s="21">
        <f t="shared" si="1"/>
        <v>0</v>
      </c>
      <c r="N16" s="21">
        <f t="shared" ca="1" si="1"/>
        <v>0</v>
      </c>
      <c r="O16" s="21">
        <f>O5</f>
        <v>14.070000000000002</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0.10578048886693114</v>
      </c>
      <c r="C18" s="25">
        <f ca="1">'EF ele_warmte'!B22</f>
        <v>0.1477866559758515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18635.683974804928</v>
      </c>
      <c r="C20" s="23">
        <f t="shared" ref="C20:P20" ca="1" si="2">C16*C18</f>
        <v>4762.3194269246887</v>
      </c>
      <c r="D20" s="23">
        <f t="shared" ca="1" si="2"/>
        <v>16610.707264533918</v>
      </c>
      <c r="E20" s="23">
        <f t="shared" si="2"/>
        <v>239.1480271665113</v>
      </c>
      <c r="F20" s="23">
        <f t="shared" ca="1" si="2"/>
        <v>6706.6574969238745</v>
      </c>
      <c r="G20" s="23">
        <f t="shared" si="2"/>
        <v>0</v>
      </c>
      <c r="H20" s="23">
        <f t="shared" si="2"/>
        <v>0</v>
      </c>
      <c r="I20" s="23">
        <f t="shared" si="2"/>
        <v>0</v>
      </c>
      <c r="J20" s="23">
        <f t="shared" si="2"/>
        <v>7.1175382752747512E-2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101303.23667016</v>
      </c>
      <c r="C26" s="39">
        <f>IF(ISERROR(B26*3.6/1000000/'E Balans VL '!Z12*100),0,B26*3.6/1000000/'E Balans VL '!Z12*100)</f>
        <v>2.1413899459177324</v>
      </c>
      <c r="D26" s="237" t="s">
        <v>754</v>
      </c>
      <c r="F26" s="6"/>
    </row>
    <row r="27" spans="1:18">
      <c r="A27" s="231" t="s">
        <v>53</v>
      </c>
      <c r="B27" s="33">
        <f>IF(ISERROR(TER_horeca_ele_kWh/1000),0,TER_horeca_ele_kWh/1000)</f>
        <v>3726.1379813242297</v>
      </c>
      <c r="C27" s="39">
        <f>IF(ISERROR(B27*3.6/1000000/'E Balans VL '!Z9*100),0,B27*3.6/1000000/'E Balans VL '!Z9*100)</f>
        <v>0.29373006826526243</v>
      </c>
      <c r="D27" s="237" t="s">
        <v>754</v>
      </c>
      <c r="F27" s="6"/>
    </row>
    <row r="28" spans="1:18">
      <c r="A28" s="171" t="s">
        <v>52</v>
      </c>
      <c r="B28" s="33">
        <f>IF(ISERROR(TER_handel_ele_kWh/1000),0,TER_handel_ele_kWh/1000)</f>
        <v>21358.2597028741</v>
      </c>
      <c r="C28" s="39">
        <f>IF(ISERROR(B28*3.6/1000000/'E Balans VL '!Z13*100),0,B28*3.6/1000000/'E Balans VL '!Z13*100)</f>
        <v>0.61990299361671608</v>
      </c>
      <c r="D28" s="237" t="s">
        <v>754</v>
      </c>
      <c r="F28" s="6"/>
    </row>
    <row r="29" spans="1:18">
      <c r="A29" s="231" t="s">
        <v>51</v>
      </c>
      <c r="B29" s="33">
        <f>IF(ISERROR(TER_gezond_ele_kWh/1000),0,TER_gezond_ele_kWh/1000)</f>
        <v>2610.99096317268</v>
      </c>
      <c r="C29" s="39">
        <f>IF(ISERROR(B29*3.6/1000000/'E Balans VL '!Z10*100),0,B29*3.6/1000000/'E Balans VL '!Z10*100)</f>
        <v>0.27498022202539585</v>
      </c>
      <c r="D29" s="237" t="s">
        <v>754</v>
      </c>
      <c r="F29" s="6"/>
    </row>
    <row r="30" spans="1:18">
      <c r="A30" s="231" t="s">
        <v>50</v>
      </c>
      <c r="B30" s="33">
        <f>IF(ISERROR(TER_ander_ele_kWh/1000),0,TER_ander_ele_kWh/1000)</f>
        <v>7468.1020075318092</v>
      </c>
      <c r="C30" s="39">
        <f>IF(ISERROR(B30*3.6/1000000/'E Balans VL '!Z14*100),0,B30*3.6/1000000/'E Balans VL '!Z14*100)</f>
        <v>0.55084882613923358</v>
      </c>
      <c r="D30" s="237" t="s">
        <v>754</v>
      </c>
      <c r="F30" s="6"/>
    </row>
    <row r="31" spans="1:18">
      <c r="A31" s="231" t="s">
        <v>55</v>
      </c>
      <c r="B31" s="33">
        <f>IF(ISERROR(TER_onderwijs_ele_kWh/1000),0,TER_onderwijs_ele_kWh/1000)</f>
        <v>1061.57214245815</v>
      </c>
      <c r="C31" s="39">
        <f>IF(ISERROR(B31*3.6/1000000/'E Balans VL '!Z11*100),0,B31*3.6/1000000/'E Balans VL '!Z11*100)</f>
        <v>0.26363808994003496</v>
      </c>
      <c r="D31" s="237" t="s">
        <v>754</v>
      </c>
    </row>
    <row r="32" spans="1:18">
      <c r="A32" s="231" t="s">
        <v>260</v>
      </c>
      <c r="B32" s="33">
        <f>IF(ISERROR(TER_rest_ele_kWh/1000),0,TER_rest_ele_kWh/1000)</f>
        <v>16087.869842067801</v>
      </c>
      <c r="C32" s="39">
        <f>IF(ISERROR(B32*3.6/1000000/'E Balans VL '!Z8*100),0,B32*3.6/1000000/'E Balans VL '!Z8*100)</f>
        <v>0.13238181432374155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75181.594629867875</v>
      </c>
      <c r="C5" s="17">
        <f>IF(ISERROR('Eigen informatie GS &amp; warmtenet'!B59),0,'Eigen informatie GS &amp; warmtenet'!B59)</f>
        <v>0</v>
      </c>
      <c r="D5" s="30">
        <f>SUM(D6:D15)</f>
        <v>51539.191240513363</v>
      </c>
      <c r="E5" s="17">
        <f>SUM(E6:E15)</f>
        <v>4593.8399192359848</v>
      </c>
      <c r="F5" s="17">
        <f>SUM(F6:F15)</f>
        <v>15028.121024448767</v>
      </c>
      <c r="G5" s="18"/>
      <c r="H5" s="17"/>
      <c r="I5" s="17"/>
      <c r="J5" s="17">
        <f>SUM(J6:J15)</f>
        <v>167.09928281388906</v>
      </c>
      <c r="K5" s="17"/>
      <c r="L5" s="17"/>
      <c r="M5" s="17"/>
      <c r="N5" s="17">
        <f>SUM(N6:N15)</f>
        <v>14035.351237416198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636.45724737402406</v>
      </c>
      <c r="C8" s="33"/>
      <c r="D8" s="37">
        <f>IF( ISERROR(IND_metaal_Gas_kWH/1000),0,IND_metaal_Gas_kWH/1000)*0.902</f>
        <v>76.065078508522504</v>
      </c>
      <c r="E8" s="33">
        <f>C30*'E Balans VL '!I18/100/3.6*1000000</f>
        <v>5.8516096933488582</v>
      </c>
      <c r="F8" s="33">
        <f>C30*'E Balans VL '!L18/100/3.6*1000000+C30*'E Balans VL '!N18/100/3.6*1000000</f>
        <v>59.678499996988997</v>
      </c>
      <c r="G8" s="34"/>
      <c r="H8" s="33"/>
      <c r="I8" s="33"/>
      <c r="J8" s="40">
        <f>C30*'E Balans VL '!D18/100/3.6*1000000+C30*'E Balans VL '!E18/100/3.6*1000000</f>
        <v>0</v>
      </c>
      <c r="K8" s="33"/>
      <c r="L8" s="33"/>
      <c r="M8" s="33"/>
      <c r="N8" s="33">
        <f>C30*'E Balans VL '!Y18/100/3.6*1000000</f>
        <v>9.0801144236837157</v>
      </c>
      <c r="O8" s="33"/>
      <c r="P8" s="33"/>
      <c r="R8" s="32"/>
    </row>
    <row r="9" spans="1:18">
      <c r="A9" s="6" t="s">
        <v>33</v>
      </c>
      <c r="B9" s="37">
        <f t="shared" si="0"/>
        <v>6705.6577689075202</v>
      </c>
      <c r="C9" s="33"/>
      <c r="D9" s="37">
        <f>IF( ISERROR(IND_andere_gas_kWh/1000),0,IND_andere_gas_kWh/1000)*0.902</f>
        <v>23306.931334873843</v>
      </c>
      <c r="E9" s="33">
        <f>C31*'E Balans VL '!I19/100/3.6*1000000</f>
        <v>1960.1943096108814</v>
      </c>
      <c r="F9" s="33">
        <f>C31*'E Balans VL '!L19/100/3.6*1000000+C31*'E Balans VL '!N19/100/3.6*1000000</f>
        <v>5388.50358897161</v>
      </c>
      <c r="G9" s="34"/>
      <c r="H9" s="33"/>
      <c r="I9" s="33"/>
      <c r="J9" s="40">
        <f>C31*'E Balans VL '!D19/100/3.6*1000000+C31*'E Balans VL '!E19/100/3.6*1000000</f>
        <v>0</v>
      </c>
      <c r="K9" s="33"/>
      <c r="L9" s="33"/>
      <c r="M9" s="33"/>
      <c r="N9" s="33">
        <f>C31*'E Balans VL '!Y19/100/3.6*1000000</f>
        <v>2215.6533242256205</v>
      </c>
      <c r="O9" s="33"/>
      <c r="P9" s="33"/>
      <c r="R9" s="32"/>
    </row>
    <row r="10" spans="1:18">
      <c r="A10" s="6" t="s">
        <v>41</v>
      </c>
      <c r="B10" s="37">
        <f t="shared" si="0"/>
        <v>1973.3017775616299</v>
      </c>
      <c r="C10" s="33"/>
      <c r="D10" s="37">
        <f>IF( ISERROR(IND_voed_gas_kWh/1000),0,IND_voed_gas_kWh/1000)*0.902</f>
        <v>1556.4682539489743</v>
      </c>
      <c r="E10" s="33">
        <f>C32*'E Balans VL '!I20/100/3.6*1000000</f>
        <v>4.1745505068380693</v>
      </c>
      <c r="F10" s="33">
        <f>C32*'E Balans VL '!L20/100/3.6*1000000+C32*'E Balans VL '!N20/100/3.6*1000000</f>
        <v>125.46454268602562</v>
      </c>
      <c r="G10" s="34"/>
      <c r="H10" s="33"/>
      <c r="I10" s="33"/>
      <c r="J10" s="40">
        <f>C32*'E Balans VL '!D20/100/3.6*1000000+C32*'E Balans VL '!E20/100/3.6*1000000</f>
        <v>0</v>
      </c>
      <c r="K10" s="33"/>
      <c r="L10" s="33"/>
      <c r="M10" s="33"/>
      <c r="N10" s="33">
        <f>C32*'E Balans VL '!Y20/100/3.6*1000000</f>
        <v>136.17729566950851</v>
      </c>
      <c r="O10" s="33"/>
      <c r="P10" s="33"/>
      <c r="R10" s="32"/>
    </row>
    <row r="11" spans="1:18">
      <c r="A11" s="6" t="s">
        <v>40</v>
      </c>
      <c r="B11" s="37">
        <f t="shared" si="0"/>
        <v>26.035869555173701</v>
      </c>
      <c r="C11" s="33"/>
      <c r="D11" s="37">
        <f>IF( ISERROR(IND_textiel_gas_kWh/1000),0,IND_textiel_gas_kWh/1000)*0.902</f>
        <v>42.985152007563151</v>
      </c>
      <c r="E11" s="33">
        <f>C33*'E Balans VL '!I21/100/3.6*1000000</f>
        <v>7.7324287855378815E-2</v>
      </c>
      <c r="F11" s="33">
        <f>C33*'E Balans VL '!L21/100/3.6*1000000+C33*'E Balans VL '!N21/100/3.6*1000000</f>
        <v>2.6303376168714303</v>
      </c>
      <c r="G11" s="34"/>
      <c r="H11" s="33"/>
      <c r="I11" s="33"/>
      <c r="J11" s="40">
        <f>C33*'E Balans VL '!D21/100/3.6*1000000+C33*'E Balans VL '!E21/100/3.6*1000000</f>
        <v>0</v>
      </c>
      <c r="K11" s="33"/>
      <c r="L11" s="33"/>
      <c r="M11" s="33"/>
      <c r="N11" s="33">
        <f>C33*'E Balans VL '!Y21/100/3.6*1000000</f>
        <v>1.4359612956508201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269.44954961211801</v>
      </c>
      <c r="C13" s="33"/>
      <c r="D13" s="37">
        <f>IF( ISERROR(IND_papier_gas_kWh/1000),0,IND_papier_gas_kWh/1000)*0.902</f>
        <v>51.051516610789655</v>
      </c>
      <c r="E13" s="33">
        <f>C35*'E Balans VL '!I23/100/3.6*1000000</f>
        <v>0.38228728826597436</v>
      </c>
      <c r="F13" s="33">
        <f>C35*'E Balans VL '!L23/100/3.6*1000000+C35*'E Balans VL '!N23/100/3.6*1000000</f>
        <v>6.5782767016635324</v>
      </c>
      <c r="G13" s="34"/>
      <c r="H13" s="33"/>
      <c r="I13" s="33"/>
      <c r="J13" s="40">
        <f>C35*'E Balans VL '!D23/100/3.6*1000000+C35*'E Balans VL '!E23/100/3.6*1000000</f>
        <v>4.1672902594042112E-2</v>
      </c>
      <c r="K13" s="33"/>
      <c r="L13" s="33"/>
      <c r="M13" s="33"/>
      <c r="N13" s="33">
        <f>C35*'E Balans VL '!Y23/100/3.6*1000000</f>
        <v>783.22605763299282</v>
      </c>
      <c r="O13" s="33"/>
      <c r="P13" s="33"/>
      <c r="R13" s="32"/>
    </row>
    <row r="14" spans="1:18">
      <c r="A14" s="6" t="s">
        <v>34</v>
      </c>
      <c r="B14" s="37">
        <f t="shared" si="0"/>
        <v>18906.307706280702</v>
      </c>
      <c r="C14" s="33"/>
      <c r="D14" s="37">
        <f>IF( ISERROR(IND_chemie_gas_kWh/1000),0,IND_chemie_gas_kWh/1000)*0.902</f>
        <v>0</v>
      </c>
      <c r="E14" s="33">
        <f>C36*'E Balans VL '!I24/100/3.6*1000000</f>
        <v>46.541912560154081</v>
      </c>
      <c r="F14" s="33">
        <f>C36*'E Balans VL '!L24/100/3.6*1000000+C36*'E Balans VL '!N24/100/3.6*1000000</f>
        <v>202.44785619626273</v>
      </c>
      <c r="G14" s="34"/>
      <c r="H14" s="33"/>
      <c r="I14" s="33"/>
      <c r="J14" s="40">
        <f>C36*'E Balans VL '!D24/100/3.6*1000000+C36*'E Balans VL '!E24/100/3.6*1000000</f>
        <v>0</v>
      </c>
      <c r="K14" s="33"/>
      <c r="L14" s="33"/>
      <c r="M14" s="33"/>
      <c r="N14" s="33">
        <f>C36*'E Balans VL '!Y24/100/3.6*1000000</f>
        <v>422.22452174077324</v>
      </c>
      <c r="O14" s="33"/>
      <c r="P14" s="33"/>
      <c r="R14" s="32"/>
    </row>
    <row r="15" spans="1:18">
      <c r="A15" s="6" t="s">
        <v>270</v>
      </c>
      <c r="B15" s="37">
        <f t="shared" si="0"/>
        <v>46664.384710576698</v>
      </c>
      <c r="C15" s="33"/>
      <c r="D15" s="37">
        <f>IF( ISERROR(IND_rest_gas_kWh/1000),0,IND_rest_gas_kWh/1000)*0.902</f>
        <v>26505.689904563667</v>
      </c>
      <c r="E15" s="33">
        <f>C37*'E Balans VL '!I15/100/3.6*1000000</f>
        <v>2576.6179252886404</v>
      </c>
      <c r="F15" s="33">
        <f>C37*'E Balans VL '!L15/100/3.6*1000000+C37*'E Balans VL '!N15/100/3.6*1000000</f>
        <v>9242.8179222793442</v>
      </c>
      <c r="G15" s="34"/>
      <c r="H15" s="33"/>
      <c r="I15" s="33"/>
      <c r="J15" s="40">
        <f>C37*'E Balans VL '!D15/100/3.6*1000000+C37*'E Balans VL '!E15/100/3.6*1000000</f>
        <v>167.05760991129503</v>
      </c>
      <c r="K15" s="33"/>
      <c r="L15" s="33"/>
      <c r="M15" s="33"/>
      <c r="N15" s="33">
        <f>C37*'E Balans VL '!Y15/100/3.6*1000000</f>
        <v>10467.553962427968</v>
      </c>
      <c r="O15" s="33"/>
      <c r="P15" s="33"/>
      <c r="R15" s="32"/>
    </row>
    <row r="16" spans="1:18">
      <c r="A16" s="16" t="s">
        <v>488</v>
      </c>
      <c r="B16" s="247">
        <f>'lokale energieproductie'!N89+'lokale energieproductie'!N58</f>
        <v>13617</v>
      </c>
      <c r="C16" s="247">
        <f>'lokale energieproductie'!O89+'lokale energieproductie'!O58</f>
        <v>19452.857142857141</v>
      </c>
      <c r="D16" s="310">
        <f>('lokale energieproductie'!P58+'lokale energieproductie'!P89)*(-1)</f>
        <v>-23618.571428571431</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88798.594629867875</v>
      </c>
      <c r="C18" s="21">
        <f>C5+C16</f>
        <v>19452.857142857141</v>
      </c>
      <c r="D18" s="21">
        <f>MAX((D5+D16),0)</f>
        <v>27920.619811941931</v>
      </c>
      <c r="E18" s="21">
        <f>MAX((E5+E16),0)</f>
        <v>4593.8399192359848</v>
      </c>
      <c r="F18" s="21">
        <f>MAX((F5+F16),0)</f>
        <v>15028.121024448767</v>
      </c>
      <c r="G18" s="21"/>
      <c r="H18" s="21"/>
      <c r="I18" s="21"/>
      <c r="J18" s="21">
        <f>MAX((J5+J16),0)</f>
        <v>167.09928281388906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0.10578048886693114</v>
      </c>
      <c r="C20" s="25">
        <f ca="1">'EF ele_warmte'!B22</f>
        <v>0.1477866559758515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9393.15875064387</v>
      </c>
      <c r="C22" s="23">
        <f ca="1">C18*C20</f>
        <v>2874.8727063188139</v>
      </c>
      <c r="D22" s="23">
        <f>D18*D20</f>
        <v>5639.9652020122703</v>
      </c>
      <c r="E22" s="23">
        <f>E18*E20</f>
        <v>1042.8016616665686</v>
      </c>
      <c r="F22" s="23">
        <f>F18*F20</f>
        <v>4012.508313527821</v>
      </c>
      <c r="G22" s="23"/>
      <c r="H22" s="23"/>
      <c r="I22" s="23"/>
      <c r="J22" s="23">
        <f>J18*J20</f>
        <v>59.153146116116723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636.45724737402406</v>
      </c>
      <c r="C30" s="39">
        <f>IF(ISERROR(B30*3.6/1000000/'E Balans VL '!Z18*100),0,B30*3.6/1000000/'E Balans VL '!Z18*100)</f>
        <v>3.6069664191807807E-2</v>
      </c>
      <c r="D30" s="237" t="s">
        <v>754</v>
      </c>
    </row>
    <row r="31" spans="1:18">
      <c r="A31" s="6" t="s">
        <v>33</v>
      </c>
      <c r="B31" s="37">
        <f>IF( ISERROR(IND_ander_ele_kWh/1000),0,IND_ander_ele_kWh/1000)</f>
        <v>6705.6577689075202</v>
      </c>
      <c r="C31" s="39">
        <f>IF(ISERROR(B31*3.6/1000000/'E Balans VL '!Z19*100),0,B31*3.6/1000000/'E Balans VL '!Z19*100)</f>
        <v>0.30414071452466707</v>
      </c>
      <c r="D31" s="237" t="s">
        <v>754</v>
      </c>
    </row>
    <row r="32" spans="1:18">
      <c r="A32" s="171" t="s">
        <v>41</v>
      </c>
      <c r="B32" s="37">
        <f>IF( ISERROR(IND_voed_ele_kWh/1000),0,IND_voed_ele_kWh/1000)</f>
        <v>1973.3017775616299</v>
      </c>
      <c r="C32" s="39">
        <f>IF(ISERROR(B32*3.6/1000000/'E Balans VL '!Z20*100),0,B32*3.6/1000000/'E Balans VL '!Z20*100)</f>
        <v>6.1043182013675347E-2</v>
      </c>
      <c r="D32" s="237" t="s">
        <v>754</v>
      </c>
    </row>
    <row r="33" spans="1:5">
      <c r="A33" s="171" t="s">
        <v>40</v>
      </c>
      <c r="B33" s="37">
        <f>IF( ISERROR(IND_textiel_ele_kWh/1000),0,IND_textiel_ele_kWh/1000)</f>
        <v>26.035869555173701</v>
      </c>
      <c r="C33" s="39">
        <f>IF(ISERROR(B33*3.6/1000000/'E Balans VL '!Z21*100),0,B33*3.6/1000000/'E Balans VL '!Z21*100)</f>
        <v>3.3947879865680827E-3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269.44954961211801</v>
      </c>
      <c r="C35" s="39">
        <f>IF(ISERROR(B35*3.6/1000000/'E Balans VL '!Z22*100),0,B35*3.6/1000000/'E Balans VL '!Z22*100)</f>
        <v>4.8465567246091718E-2</v>
      </c>
      <c r="D35" s="237" t="s">
        <v>754</v>
      </c>
    </row>
    <row r="36" spans="1:5">
      <c r="A36" s="171" t="s">
        <v>34</v>
      </c>
      <c r="B36" s="37">
        <f>IF( ISERROR(IND_chemie_ele_kWh/1000),0,IND_chemie_ele_kWh/1000)</f>
        <v>18906.307706280702</v>
      </c>
      <c r="C36" s="39">
        <f>IF(ISERROR(B36*3.6/1000000/'E Balans VL '!Z24*100),0,B36*3.6/1000000/'E Balans VL '!Z24*100)</f>
        <v>0.57652941735449681</v>
      </c>
      <c r="D36" s="237" t="s">
        <v>754</v>
      </c>
    </row>
    <row r="37" spans="1:5">
      <c r="A37" s="171" t="s">
        <v>270</v>
      </c>
      <c r="B37" s="37">
        <f>IF( ISERROR(IND_rest_ele_kWh/1000),0,IND_rest_ele_kWh/1000)</f>
        <v>46664.384710576698</v>
      </c>
      <c r="C37" s="39">
        <f>IF(ISERROR(B37*3.6/1000000/'E Balans VL '!Z15*100),0,B37*3.6/1000000/'E Balans VL '!Z15*100)</f>
        <v>0.36987255814613662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10735.454325723567</v>
      </c>
      <c r="C5" s="17">
        <f>'Eigen informatie GS &amp; warmtenet'!B60</f>
        <v>0</v>
      </c>
      <c r="D5" s="30">
        <f>IF(ISERROR(SUM(LB_lb_gas_kWh,LB_rest_gas_kWh,onbekend_gas_kWh)/1000),0,SUM(LB_lb_gas_kWh,LB_rest_gas_kWh,onbekend_gas_kWh)/1000)*0.902</f>
        <v>143074.81600187384</v>
      </c>
      <c r="E5" s="17">
        <f>B17*'E Balans VL '!I25/3.6*1000000/100</f>
        <v>315.54779249518145</v>
      </c>
      <c r="F5" s="17">
        <f>B17*('E Balans VL '!L25/3.6*1000000+'E Balans VL '!N25/3.6*1000000)/100</f>
        <v>44723.322607461429</v>
      </c>
      <c r="G5" s="18"/>
      <c r="H5" s="17"/>
      <c r="I5" s="17"/>
      <c r="J5" s="17">
        <f>('E Balans VL '!D25+'E Balans VL '!E25)/3.6*1000000*landbouw!B17/100</f>
        <v>1555.3367852766598</v>
      </c>
      <c r="K5" s="17"/>
      <c r="L5" s="17">
        <f>L6*(-1)</f>
        <v>0</v>
      </c>
      <c r="M5" s="17"/>
      <c r="N5" s="17">
        <f>N6*(-1)</f>
        <v>67123.285714285725</v>
      </c>
      <c r="O5" s="17"/>
      <c r="P5" s="17"/>
      <c r="R5" s="32"/>
    </row>
    <row r="6" spans="1:18">
      <c r="A6" s="16" t="s">
        <v>488</v>
      </c>
      <c r="B6" s="17" t="s">
        <v>211</v>
      </c>
      <c r="C6" s="17">
        <f>'lokale energieproductie'!O91+'lokale energieproductie'!O60</f>
        <v>107856.64285714288</v>
      </c>
      <c r="D6" s="310">
        <f>('lokale energieproductie'!P60+'lokale energieproductie'!P91)*(-1)</f>
        <v>-148590.00000000003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10735.454325723567</v>
      </c>
      <c r="C8" s="21">
        <f>C5+C6</f>
        <v>107856.64285714288</v>
      </c>
      <c r="D8" s="21">
        <f>MAX((D5+D6),0)</f>
        <v>0</v>
      </c>
      <c r="E8" s="21">
        <f>MAX((E5+E6),0)</f>
        <v>315.54779249518145</v>
      </c>
      <c r="F8" s="21">
        <f>MAX((F5+F6),0)</f>
        <v>44723.322607461429</v>
      </c>
      <c r="G8" s="21"/>
      <c r="H8" s="21"/>
      <c r="I8" s="21"/>
      <c r="J8" s="21">
        <f>MAX((J5+J6),0)</f>
        <v>1555.3367852766598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0.10578048886693114</v>
      </c>
      <c r="C10" s="31">
        <f ca="1">'EF ele_warmte'!B22</f>
        <v>0.1477866559758515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1135.6016067836497</v>
      </c>
      <c r="C12" s="23">
        <f ca="1">C8*C10</f>
        <v>15939.772572638856</v>
      </c>
      <c r="D12" s="23">
        <f>D8*D10</f>
        <v>0</v>
      </c>
      <c r="E12" s="23">
        <f>E8*E10</f>
        <v>71.629348896406199</v>
      </c>
      <c r="F12" s="23">
        <f>F8*F10</f>
        <v>11941.127136192203</v>
      </c>
      <c r="G12" s="23"/>
      <c r="H12" s="23"/>
      <c r="I12" s="23"/>
      <c r="J12" s="23">
        <f>J8*J10</f>
        <v>550.58922198793755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1.5233946502809415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943.87252467080577</v>
      </c>
      <c r="C26" s="247">
        <f>B26*'GWP N2O_CH4'!B5</f>
        <v>19821.323018086921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435.83133601825699</v>
      </c>
      <c r="C27" s="247">
        <f>B27*'GWP N2O_CH4'!B5</f>
        <v>9152.458056383397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13.74680682379779</v>
      </c>
      <c r="C28" s="247">
        <f>B28*'GWP N2O_CH4'!B4</f>
        <v>4261.5101153773148</v>
      </c>
      <c r="D28" s="50"/>
    </row>
    <row r="29" spans="1:4">
      <c r="A29" s="41" t="s">
        <v>277</v>
      </c>
      <c r="B29" s="247">
        <f>B34*'ha_N2O bodem landbouw'!B4</f>
        <v>44.973410725387815</v>
      </c>
      <c r="C29" s="247">
        <f>B29*'GWP N2O_CH4'!B4</f>
        <v>13941.757324870223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1.0262777342265298E-2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1.1112855656477847E-3</v>
      </c>
      <c r="C5" s="463" t="s">
        <v>211</v>
      </c>
      <c r="D5" s="448">
        <f>SUM(D6:D11)</f>
        <v>3.9938571998233922E-3</v>
      </c>
      <c r="E5" s="448">
        <f>SUM(E6:E11)</f>
        <v>5.794301266227847E-3</v>
      </c>
      <c r="F5" s="461" t="s">
        <v>211</v>
      </c>
      <c r="G5" s="448">
        <f>SUM(G6:G11)</f>
        <v>3.1493543724886095</v>
      </c>
      <c r="H5" s="448">
        <f>SUM(H6:H11)</f>
        <v>0.45706817729043903</v>
      </c>
      <c r="I5" s="463" t="s">
        <v>211</v>
      </c>
      <c r="J5" s="463" t="s">
        <v>211</v>
      </c>
      <c r="K5" s="463" t="s">
        <v>211</v>
      </c>
      <c r="L5" s="463" t="s">
        <v>211</v>
      </c>
      <c r="M5" s="448">
        <f>SUM(M6:M11)</f>
        <v>0.19757063971804253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4.0231212757648203E-4</v>
      </c>
      <c r="C6" s="449"/>
      <c r="D6" s="962">
        <f>vkm_2011_GW_PW*SUMIFS(TableVerdeelsleutelVkm[CNG],TableVerdeelsleutelVkm[Voertuigtype],"Lichte voertuigen")*SUMIFS(TableECFTransport[EnergieConsumptieFactor (PJ per km)],TableECFTransport[Index],CONCATENATE($A6,"_CNG_CNG"))</f>
        <v>1.2067054765716693E-3</v>
      </c>
      <c r="E6" s="962">
        <f>vkm_2011_GW_PW*SUMIFS(TableVerdeelsleutelVkm[LPG],TableVerdeelsleutelVkm[Voertuigtype],"Lichte voertuigen")*SUMIFS(TableECFTransport[EnergieConsumptieFactor (PJ per km)],TableECFTransport[Index],CONCATENATE($A6,"_LPG_LPG"))</f>
        <v>1.6485330156962848E-3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0.42623506793106009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0.1372248572681932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2.897539658580945E-2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0.50621301987868172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1.5425645701075503E-4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2.9581408001069603E-2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2.5631127710373601E-4</v>
      </c>
      <c r="C8" s="449"/>
      <c r="D8" s="451">
        <f>vkm_2011_NGW_PW*SUMIFS(TableVerdeelsleutelVkm[CNG],TableVerdeelsleutelVkm[Voertuigtype],"Lichte voertuigen")*SUMIFS(TableECFTransport[EnergieConsumptieFactor (PJ per km)],TableECFTransport[Index],CONCATENATE($A8,"_CNG_CNG"))</f>
        <v>1.3669114039756218E-3</v>
      </c>
      <c r="E8" s="451">
        <f>vkm_2011_NGW_PW*SUMIFS(TableVerdeelsleutelVkm[LPG],TableVerdeelsleutelVkm[Voertuigtype],"Lichte voertuigen")*SUMIFS(TableECFTransport[EnergieConsumptieFactor (PJ per km)],TableECFTransport[Index],CONCATENATE($A8,"_LPG_LPG"))</f>
        <v>1.7294218236534361E-3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0.41669574744865917</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0.1510567935012157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2.8828432862239302E-2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0.42486638597786386</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1.2188292425739895E-4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2.4827555777004285E-2</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4.5266216096756658E-4</v>
      </c>
      <c r="C10" s="449"/>
      <c r="D10" s="451">
        <f>vkm_2011_SW_PW*SUMIFS(TableVerdeelsleutelVkm[CNG],TableVerdeelsleutelVkm[Voertuigtype],"Lichte voertuigen")*SUMIFS(TableECFTransport[EnergieConsumptieFactor (PJ per km)],TableECFTransport[Index],CONCATENATE($A10,"_CNG_CNG"))</f>
        <v>1.4202403192761005E-3</v>
      </c>
      <c r="E10" s="451">
        <f>vkm_2011_SW_PW*SUMIFS(TableVerdeelsleutelVkm[LPG],TableVerdeelsleutelVkm[Voertuigtype],"Lichte voertuigen")*SUMIFS(TableECFTransport[EnergieConsumptieFactor (PJ per km)],TableECFTransport[Index],CONCATENATE($A10,"_LPG_LPG"))</f>
        <v>2.4163464268781259E-3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0.55697332610567751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0.16824108506051549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3.753438175464778E-2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0.81837082514666704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2.693020792464433E-4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4.7823464737272108E-2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308.69043490216245</v>
      </c>
      <c r="C14" s="21"/>
      <c r="D14" s="21">
        <f t="shared" ref="D14:M14" si="0">((D5)*10^9/3600)+D12</f>
        <v>1109.4047777287201</v>
      </c>
      <c r="E14" s="21">
        <f t="shared" si="0"/>
        <v>1609.5281295077352</v>
      </c>
      <c r="F14" s="21"/>
      <c r="G14" s="21">
        <f t="shared" si="0"/>
        <v>874820.65902461368</v>
      </c>
      <c r="H14" s="21">
        <f t="shared" si="0"/>
        <v>126963.3825806775</v>
      </c>
      <c r="I14" s="21"/>
      <c r="J14" s="21"/>
      <c r="K14" s="21"/>
      <c r="L14" s="21"/>
      <c r="M14" s="21">
        <f t="shared" si="0"/>
        <v>54880.733255011815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0.10578048886693114</v>
      </c>
      <c r="C16" s="56">
        <f ca="1">'EF ele_warmte'!B22</f>
        <v>0.1477866559758515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32.653425112496329</v>
      </c>
      <c r="C18" s="23"/>
      <c r="D18" s="23">
        <f t="shared" ref="D18:M18" si="1">D14*D16</f>
        <v>224.09976510120148</v>
      </c>
      <c r="E18" s="23">
        <f t="shared" si="1"/>
        <v>365.36288539825591</v>
      </c>
      <c r="F18" s="23"/>
      <c r="G18" s="23">
        <f t="shared" si="1"/>
        <v>233577.11595957188</v>
      </c>
      <c r="H18" s="23">
        <f t="shared" si="1"/>
        <v>31613.882262588697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1.3440830442671333E-2</v>
      </c>
      <c r="H50" s="321">
        <f t="shared" si="2"/>
        <v>0</v>
      </c>
      <c r="I50" s="321">
        <f t="shared" si="2"/>
        <v>0</v>
      </c>
      <c r="J50" s="321">
        <f t="shared" si="2"/>
        <v>0</v>
      </c>
      <c r="K50" s="321">
        <f t="shared" si="2"/>
        <v>0</v>
      </c>
      <c r="L50" s="321">
        <f t="shared" si="2"/>
        <v>0</v>
      </c>
      <c r="M50" s="321">
        <f t="shared" si="2"/>
        <v>7.6337983357107047E-4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1.3440830442671333E-2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7.6337983357107047E-4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3733.5640118531478</v>
      </c>
      <c r="H54" s="21">
        <f t="shared" si="3"/>
        <v>0</v>
      </c>
      <c r="I54" s="21">
        <f t="shared" si="3"/>
        <v>0</v>
      </c>
      <c r="J54" s="21">
        <f t="shared" si="3"/>
        <v>0</v>
      </c>
      <c r="K54" s="21">
        <f t="shared" si="3"/>
        <v>0</v>
      </c>
      <c r="L54" s="21">
        <f t="shared" si="3"/>
        <v>0</v>
      </c>
      <c r="M54" s="21">
        <f t="shared" si="3"/>
        <v>212.04995376974179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0.10578048886693114</v>
      </c>
      <c r="C56" s="56">
        <f ca="1">'EF ele_warmte'!B22</f>
        <v>0.1477866559758515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996.86159116479052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111952.98052691984</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46192.430759208051</v>
      </c>
      <c r="C6" s="1204"/>
      <c r="D6" s="1189"/>
      <c r="E6" s="1189"/>
      <c r="F6" s="1207"/>
      <c r="G6" s="1210"/>
      <c r="H6" s="1201"/>
      <c r="I6" s="1189"/>
      <c r="J6" s="1189"/>
      <c r="K6" s="1189"/>
      <c r="L6" s="1193"/>
      <c r="M6" s="575"/>
      <c r="N6" s="1167"/>
      <c r="O6" s="1168"/>
      <c r="Q6" s="573"/>
      <c r="R6" s="1155"/>
      <c r="S6" s="1155"/>
    </row>
    <row r="7" spans="1:19" s="563" customFormat="1">
      <c r="A7" s="576" t="s">
        <v>252</v>
      </c>
      <c r="B7" s="577">
        <f>N57</f>
        <v>111673.65</v>
      </c>
      <c r="C7" s="578">
        <f>B100</f>
        <v>81702.352941176461</v>
      </c>
      <c r="D7" s="579"/>
      <c r="E7" s="579">
        <f>E100</f>
        <v>0</v>
      </c>
      <c r="F7" s="580"/>
      <c r="G7" s="581"/>
      <c r="H7" s="579">
        <f>I100</f>
        <v>0</v>
      </c>
      <c r="I7" s="579">
        <f>G100+F100</f>
        <v>0</v>
      </c>
      <c r="J7" s="579">
        <f>H100+D100+C100</f>
        <v>49678.411764705888</v>
      </c>
      <c r="K7" s="579"/>
      <c r="L7" s="582"/>
      <c r="M7" s="583">
        <f>C7*$C$11+D7*$D$11+E7*$E$11+F7*$F$11+G7*$G$11+H7*$H$11+I7*$I$11+J7*$J$11</f>
        <v>16503.875294117646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269819.06128612789</v>
      </c>
      <c r="C9" s="594">
        <f t="shared" ref="C9:L9" si="0">SUM(C7:C8)</f>
        <v>81702.352941176461</v>
      </c>
      <c r="D9" s="594">
        <f t="shared" si="0"/>
        <v>0</v>
      </c>
      <c r="E9" s="594">
        <f t="shared" si="0"/>
        <v>0</v>
      </c>
      <c r="F9" s="594">
        <f t="shared" si="0"/>
        <v>0</v>
      </c>
      <c r="G9" s="594">
        <f t="shared" si="0"/>
        <v>0</v>
      </c>
      <c r="H9" s="594">
        <f t="shared" si="0"/>
        <v>0</v>
      </c>
      <c r="I9" s="594">
        <f t="shared" si="0"/>
        <v>0</v>
      </c>
      <c r="J9" s="594">
        <f t="shared" si="0"/>
        <v>49678.411764705888</v>
      </c>
      <c r="K9" s="594">
        <f t="shared" si="0"/>
        <v>0</v>
      </c>
      <c r="L9" s="594">
        <f t="shared" si="0"/>
        <v>0</v>
      </c>
      <c r="M9" s="595">
        <f>SUM(M4:M8)</f>
        <v>16503.875294117646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159533.78571428571</v>
      </c>
      <c r="C16" s="610">
        <f>B101</f>
        <v>116717.64705882354</v>
      </c>
      <c r="D16" s="611"/>
      <c r="E16" s="611">
        <f>E101</f>
        <v>0</v>
      </c>
      <c r="F16" s="612"/>
      <c r="G16" s="613"/>
      <c r="H16" s="610">
        <f>I101</f>
        <v>0</v>
      </c>
      <c r="I16" s="611">
        <f>G101+F101</f>
        <v>0</v>
      </c>
      <c r="J16" s="611">
        <f>H101+D101+C101</f>
        <v>70969.159663865561</v>
      </c>
      <c r="K16" s="611"/>
      <c r="L16" s="614"/>
      <c r="M16" s="615">
        <f>C16*$C$21+E16*$E$21+H16*$H$21+I16*$I$21+J16*$J$21+D16*$D$21+F16*$F$21+G16*$G$21+K16*$K$21+L16*$L$21</f>
        <v>23576.964705882358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159533.78571428571</v>
      </c>
      <c r="C19" s="593">
        <f>SUM(C16:C18)</f>
        <v>116717.64705882354</v>
      </c>
      <c r="D19" s="593">
        <f t="shared" ref="D19:M19" si="1">SUM(D16:D18)</f>
        <v>0</v>
      </c>
      <c r="E19" s="593">
        <f t="shared" si="1"/>
        <v>0</v>
      </c>
      <c r="F19" s="593">
        <f t="shared" si="1"/>
        <v>0</v>
      </c>
      <c r="G19" s="593">
        <f t="shared" si="1"/>
        <v>0</v>
      </c>
      <c r="H19" s="593">
        <f t="shared" si="1"/>
        <v>0</v>
      </c>
      <c r="I19" s="593">
        <f t="shared" si="1"/>
        <v>0</v>
      </c>
      <c r="J19" s="593">
        <f t="shared" si="1"/>
        <v>70969.159663865561</v>
      </c>
      <c r="K19" s="593">
        <f t="shared" si="1"/>
        <v>0</v>
      </c>
      <c r="L19" s="593">
        <f t="shared" si="1"/>
        <v>0</v>
      </c>
      <c r="M19" s="620">
        <f t="shared" si="1"/>
        <v>23576.964705882358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46003</v>
      </c>
      <c r="C27" s="851">
        <v>9120</v>
      </c>
      <c r="D27" s="672" t="s">
        <v>809</v>
      </c>
      <c r="E27" s="671" t="s">
        <v>810</v>
      </c>
      <c r="F27" s="671" t="s">
        <v>811</v>
      </c>
      <c r="G27" s="671" t="s">
        <v>812</v>
      </c>
      <c r="H27" s="671" t="s">
        <v>813</v>
      </c>
      <c r="I27" s="671" t="s">
        <v>810</v>
      </c>
      <c r="J27" s="850">
        <v>39377</v>
      </c>
      <c r="K27" s="850">
        <v>39380</v>
      </c>
      <c r="L27" s="671" t="s">
        <v>814</v>
      </c>
      <c r="M27" s="671">
        <v>1372</v>
      </c>
      <c r="N27" s="671">
        <v>6174.0000000000009</v>
      </c>
      <c r="O27" s="671">
        <v>8820.0000000000018</v>
      </c>
      <c r="P27" s="671">
        <v>17640.000000000004</v>
      </c>
      <c r="Q27" s="671">
        <v>0</v>
      </c>
      <c r="R27" s="671">
        <v>0</v>
      </c>
      <c r="S27" s="671">
        <v>0</v>
      </c>
      <c r="T27" s="671">
        <v>0</v>
      </c>
      <c r="U27" s="671">
        <v>0</v>
      </c>
      <c r="V27" s="671">
        <v>0</v>
      </c>
      <c r="W27" s="671">
        <v>0</v>
      </c>
      <c r="X27" s="671">
        <v>10</v>
      </c>
      <c r="Y27" s="671" t="s">
        <v>112</v>
      </c>
      <c r="Z27" s="673" t="s">
        <v>112</v>
      </c>
    </row>
    <row r="28" spans="1:26" s="625" customFormat="1" ht="25.5">
      <c r="A28" s="624"/>
      <c r="B28" s="851">
        <v>46003</v>
      </c>
      <c r="C28" s="851">
        <v>9120</v>
      </c>
      <c r="D28" s="672" t="s">
        <v>815</v>
      </c>
      <c r="E28" s="671" t="s">
        <v>816</v>
      </c>
      <c r="F28" s="671" t="s">
        <v>817</v>
      </c>
      <c r="G28" s="671" t="s">
        <v>812</v>
      </c>
      <c r="H28" s="671" t="s">
        <v>813</v>
      </c>
      <c r="I28" s="671" t="s">
        <v>816</v>
      </c>
      <c r="J28" s="850">
        <v>39568</v>
      </c>
      <c r="K28" s="850">
        <v>39568</v>
      </c>
      <c r="L28" s="671" t="s">
        <v>814</v>
      </c>
      <c r="M28" s="671">
        <v>2731</v>
      </c>
      <c r="N28" s="671">
        <v>12289.5</v>
      </c>
      <c r="O28" s="671">
        <v>17556.428571428572</v>
      </c>
      <c r="P28" s="671">
        <v>35112.857142857145</v>
      </c>
      <c r="Q28" s="671">
        <v>0</v>
      </c>
      <c r="R28" s="671">
        <v>0</v>
      </c>
      <c r="S28" s="671">
        <v>0</v>
      </c>
      <c r="T28" s="671">
        <v>0</v>
      </c>
      <c r="U28" s="671">
        <v>0</v>
      </c>
      <c r="V28" s="671">
        <v>0</v>
      </c>
      <c r="W28" s="671">
        <v>0</v>
      </c>
      <c r="X28" s="671">
        <v>10</v>
      </c>
      <c r="Y28" s="671" t="s">
        <v>112</v>
      </c>
      <c r="Z28" s="673" t="s">
        <v>112</v>
      </c>
    </row>
    <row r="29" spans="1:26" s="625" customFormat="1" ht="25.5">
      <c r="A29" s="624"/>
      <c r="B29" s="851">
        <v>46003</v>
      </c>
      <c r="C29" s="851">
        <v>9120</v>
      </c>
      <c r="D29" s="672" t="s">
        <v>818</v>
      </c>
      <c r="E29" s="671" t="s">
        <v>819</v>
      </c>
      <c r="F29" s="671" t="s">
        <v>820</v>
      </c>
      <c r="G29" s="671" t="s">
        <v>812</v>
      </c>
      <c r="H29" s="671" t="s">
        <v>813</v>
      </c>
      <c r="I29" s="671" t="s">
        <v>819</v>
      </c>
      <c r="J29" s="850">
        <v>39737</v>
      </c>
      <c r="K29" s="850">
        <v>39737</v>
      </c>
      <c r="L29" s="671" t="s">
        <v>814</v>
      </c>
      <c r="M29" s="671">
        <v>1562</v>
      </c>
      <c r="N29" s="671">
        <v>7029</v>
      </c>
      <c r="O29" s="671">
        <v>10041.428571428572</v>
      </c>
      <c r="P29" s="671">
        <v>20082.857142857145</v>
      </c>
      <c r="Q29" s="671">
        <v>0</v>
      </c>
      <c r="R29" s="671">
        <v>0</v>
      </c>
      <c r="S29" s="671">
        <v>0</v>
      </c>
      <c r="T29" s="671">
        <v>0</v>
      </c>
      <c r="U29" s="671">
        <v>0</v>
      </c>
      <c r="V29" s="671">
        <v>0</v>
      </c>
      <c r="W29" s="671">
        <v>0</v>
      </c>
      <c r="X29" s="671">
        <v>10</v>
      </c>
      <c r="Y29" s="671" t="s">
        <v>112</v>
      </c>
      <c r="Z29" s="673" t="s">
        <v>112</v>
      </c>
    </row>
    <row r="30" spans="1:26" s="625" customFormat="1" ht="25.5">
      <c r="A30" s="624"/>
      <c r="B30" s="851">
        <v>46003</v>
      </c>
      <c r="C30" s="851">
        <v>9120</v>
      </c>
      <c r="D30" s="672" t="s">
        <v>821</v>
      </c>
      <c r="E30" s="671" t="s">
        <v>822</v>
      </c>
      <c r="F30" s="671" t="s">
        <v>823</v>
      </c>
      <c r="G30" s="671" t="s">
        <v>812</v>
      </c>
      <c r="H30" s="671" t="s">
        <v>813</v>
      </c>
      <c r="I30" s="671" t="s">
        <v>822</v>
      </c>
      <c r="J30" s="850">
        <v>40927</v>
      </c>
      <c r="K30" s="850">
        <v>39841</v>
      </c>
      <c r="L30" s="671" t="s">
        <v>814</v>
      </c>
      <c r="M30" s="671">
        <v>2233</v>
      </c>
      <c r="N30" s="671">
        <v>10048.5</v>
      </c>
      <c r="O30" s="671">
        <v>14355</v>
      </c>
      <c r="P30" s="671">
        <v>0</v>
      </c>
      <c r="Q30" s="671">
        <v>28710.000000000004</v>
      </c>
      <c r="R30" s="671">
        <v>0</v>
      </c>
      <c r="S30" s="671">
        <v>0</v>
      </c>
      <c r="T30" s="671">
        <v>0</v>
      </c>
      <c r="U30" s="671">
        <v>0</v>
      </c>
      <c r="V30" s="671">
        <v>0</v>
      </c>
      <c r="W30" s="671">
        <v>0</v>
      </c>
      <c r="X30" s="671">
        <v>10</v>
      </c>
      <c r="Y30" s="671" t="s">
        <v>112</v>
      </c>
      <c r="Z30" s="673" t="s">
        <v>112</v>
      </c>
    </row>
    <row r="31" spans="1:26" s="625" customFormat="1" ht="25.5">
      <c r="A31" s="624"/>
      <c r="B31" s="851">
        <v>46003</v>
      </c>
      <c r="C31" s="851">
        <v>9120</v>
      </c>
      <c r="D31" s="672" t="s">
        <v>824</v>
      </c>
      <c r="E31" s="671" t="s">
        <v>825</v>
      </c>
      <c r="F31" s="671" t="s">
        <v>826</v>
      </c>
      <c r="G31" s="671" t="s">
        <v>812</v>
      </c>
      <c r="H31" s="671" t="s">
        <v>813</v>
      </c>
      <c r="I31" s="671" t="s">
        <v>825</v>
      </c>
      <c r="J31" s="850">
        <v>40954</v>
      </c>
      <c r="K31" s="850">
        <v>39990</v>
      </c>
      <c r="L31" s="671" t="s">
        <v>814</v>
      </c>
      <c r="M31" s="671">
        <v>3898</v>
      </c>
      <c r="N31" s="671">
        <v>17541</v>
      </c>
      <c r="O31" s="671">
        <v>25058.571428571428</v>
      </c>
      <c r="P31" s="671">
        <v>50117.142857142862</v>
      </c>
      <c r="Q31" s="671">
        <v>0</v>
      </c>
      <c r="R31" s="671">
        <v>0</v>
      </c>
      <c r="S31" s="671">
        <v>0</v>
      </c>
      <c r="T31" s="671">
        <v>0</v>
      </c>
      <c r="U31" s="671">
        <v>0</v>
      </c>
      <c r="V31" s="671">
        <v>0</v>
      </c>
      <c r="W31" s="671">
        <v>0</v>
      </c>
      <c r="X31" s="671">
        <v>10</v>
      </c>
      <c r="Y31" s="671" t="s">
        <v>112</v>
      </c>
      <c r="Z31" s="673" t="s">
        <v>112</v>
      </c>
    </row>
    <row r="32" spans="1:26" s="625" customFormat="1" ht="25.5">
      <c r="A32" s="624"/>
      <c r="B32" s="851">
        <v>46003</v>
      </c>
      <c r="C32" s="851">
        <v>9120</v>
      </c>
      <c r="D32" s="672" t="s">
        <v>827</v>
      </c>
      <c r="E32" s="671" t="s">
        <v>828</v>
      </c>
      <c r="F32" s="671" t="s">
        <v>829</v>
      </c>
      <c r="G32" s="671" t="s">
        <v>812</v>
      </c>
      <c r="H32" s="671" t="s">
        <v>813</v>
      </c>
      <c r="I32" s="671" t="s">
        <v>830</v>
      </c>
      <c r="J32" s="850">
        <v>40333</v>
      </c>
      <c r="K32" s="850">
        <v>40345</v>
      </c>
      <c r="L32" s="671" t="s">
        <v>814</v>
      </c>
      <c r="M32" s="671">
        <v>1994</v>
      </c>
      <c r="N32" s="671">
        <v>8973</v>
      </c>
      <c r="O32" s="671">
        <v>12818.571428571429</v>
      </c>
      <c r="P32" s="671">
        <v>25637.142857142859</v>
      </c>
      <c r="Q32" s="671">
        <v>0</v>
      </c>
      <c r="R32" s="671">
        <v>0</v>
      </c>
      <c r="S32" s="671">
        <v>0</v>
      </c>
      <c r="T32" s="671">
        <v>0</v>
      </c>
      <c r="U32" s="671">
        <v>0</v>
      </c>
      <c r="V32" s="671">
        <v>0</v>
      </c>
      <c r="W32" s="671">
        <v>0</v>
      </c>
      <c r="X32" s="671">
        <v>10</v>
      </c>
      <c r="Y32" s="671" t="s">
        <v>112</v>
      </c>
      <c r="Z32" s="673" t="s">
        <v>112</v>
      </c>
    </row>
    <row r="33" spans="1:26" s="625" customFormat="1" ht="25.5">
      <c r="A33" s="624"/>
      <c r="B33" s="851">
        <v>46003</v>
      </c>
      <c r="C33" s="851">
        <v>9120</v>
      </c>
      <c r="D33" s="672" t="s">
        <v>831</v>
      </c>
      <c r="E33" s="671" t="s">
        <v>832</v>
      </c>
      <c r="F33" s="671" t="s">
        <v>833</v>
      </c>
      <c r="G33" s="671" t="s">
        <v>812</v>
      </c>
      <c r="H33" s="671" t="s">
        <v>813</v>
      </c>
      <c r="I33" s="671" t="s">
        <v>832</v>
      </c>
      <c r="J33" s="850">
        <v>40819</v>
      </c>
      <c r="K33" s="850">
        <v>40834</v>
      </c>
      <c r="L33" s="671" t="s">
        <v>814</v>
      </c>
      <c r="M33" s="671">
        <v>197</v>
      </c>
      <c r="N33" s="671">
        <v>886.5</v>
      </c>
      <c r="O33" s="671">
        <v>1266.4285714285716</v>
      </c>
      <c r="P33" s="671">
        <v>2532.8571428571431</v>
      </c>
      <c r="Q33" s="671">
        <v>0</v>
      </c>
      <c r="R33" s="671">
        <v>0</v>
      </c>
      <c r="S33" s="671">
        <v>0</v>
      </c>
      <c r="T33" s="671">
        <v>0</v>
      </c>
      <c r="U33" s="671">
        <v>0</v>
      </c>
      <c r="V33" s="671">
        <v>0</v>
      </c>
      <c r="W33" s="671">
        <v>0</v>
      </c>
      <c r="X33" s="671">
        <v>1200</v>
      </c>
      <c r="Y33" s="671" t="s">
        <v>53</v>
      </c>
      <c r="Z33" s="673" t="s">
        <v>156</v>
      </c>
    </row>
    <row r="34" spans="1:26" s="625" customFormat="1" ht="25.5">
      <c r="A34" s="624"/>
      <c r="B34" s="851">
        <v>46003</v>
      </c>
      <c r="C34" s="851">
        <v>9120</v>
      </c>
      <c r="D34" s="672" t="s">
        <v>834</v>
      </c>
      <c r="E34" s="671" t="s">
        <v>835</v>
      </c>
      <c r="F34" s="671" t="s">
        <v>836</v>
      </c>
      <c r="G34" s="671" t="s">
        <v>812</v>
      </c>
      <c r="H34" s="671" t="s">
        <v>813</v>
      </c>
      <c r="I34" s="671" t="s">
        <v>835</v>
      </c>
      <c r="J34" s="850">
        <v>41184</v>
      </c>
      <c r="K34" s="850">
        <v>41184</v>
      </c>
      <c r="L34" s="671" t="s">
        <v>814</v>
      </c>
      <c r="M34" s="671">
        <v>2978</v>
      </c>
      <c r="N34" s="671">
        <v>13401.000000000002</v>
      </c>
      <c r="O34" s="671">
        <v>19144.285714285717</v>
      </c>
      <c r="P34" s="671">
        <v>0</v>
      </c>
      <c r="Q34" s="671">
        <v>38288.571428571435</v>
      </c>
      <c r="R34" s="671">
        <v>0</v>
      </c>
      <c r="S34" s="671">
        <v>0</v>
      </c>
      <c r="T34" s="671">
        <v>0</v>
      </c>
      <c r="U34" s="671">
        <v>0</v>
      </c>
      <c r="V34" s="671">
        <v>0</v>
      </c>
      <c r="W34" s="671">
        <v>0</v>
      </c>
      <c r="X34" s="671">
        <v>10</v>
      </c>
      <c r="Y34" s="671" t="s">
        <v>112</v>
      </c>
      <c r="Z34" s="673" t="s">
        <v>112</v>
      </c>
    </row>
    <row r="35" spans="1:26" s="625" customFormat="1" ht="63.75">
      <c r="A35" s="624"/>
      <c r="B35" s="851">
        <v>46003</v>
      </c>
      <c r="C35" s="851">
        <v>9120</v>
      </c>
      <c r="D35" s="672" t="s">
        <v>837</v>
      </c>
      <c r="E35" s="671" t="s">
        <v>838</v>
      </c>
      <c r="F35" s="671" t="s">
        <v>839</v>
      </c>
      <c r="G35" s="671" t="s">
        <v>812</v>
      </c>
      <c r="H35" s="671" t="s">
        <v>813</v>
      </c>
      <c r="I35" s="671" t="s">
        <v>840</v>
      </c>
      <c r="J35" s="850">
        <v>41450</v>
      </c>
      <c r="K35" s="850">
        <v>41361</v>
      </c>
      <c r="L35" s="671" t="s">
        <v>814</v>
      </c>
      <c r="M35" s="671">
        <v>70</v>
      </c>
      <c r="N35" s="671">
        <v>315.00000000000006</v>
      </c>
      <c r="O35" s="671">
        <v>450.00000000000011</v>
      </c>
      <c r="P35" s="671">
        <v>900.00000000000023</v>
      </c>
      <c r="Q35" s="671">
        <v>0</v>
      </c>
      <c r="R35" s="671">
        <v>0</v>
      </c>
      <c r="S35" s="671">
        <v>0</v>
      </c>
      <c r="T35" s="671">
        <v>0</v>
      </c>
      <c r="U35" s="671">
        <v>0</v>
      </c>
      <c r="V35" s="671">
        <v>0</v>
      </c>
      <c r="W35" s="671">
        <v>0</v>
      </c>
      <c r="X35" s="671">
        <v>1600</v>
      </c>
      <c r="Y35" s="671" t="s">
        <v>50</v>
      </c>
      <c r="Z35" s="673" t="s">
        <v>156</v>
      </c>
    </row>
    <row r="36" spans="1:26" s="625" customFormat="1" ht="25.5">
      <c r="A36" s="624"/>
      <c r="B36" s="851">
        <v>46003</v>
      </c>
      <c r="C36" s="851">
        <v>9120</v>
      </c>
      <c r="D36" s="672" t="s">
        <v>841</v>
      </c>
      <c r="E36" s="671" t="s">
        <v>842</v>
      </c>
      <c r="F36" s="671" t="s">
        <v>843</v>
      </c>
      <c r="G36" s="671" t="s">
        <v>812</v>
      </c>
      <c r="H36" s="671" t="s">
        <v>813</v>
      </c>
      <c r="I36" s="671" t="s">
        <v>842</v>
      </c>
      <c r="J36" s="850">
        <v>41373</v>
      </c>
      <c r="K36" s="850">
        <v>41373</v>
      </c>
      <c r="L36" s="671" t="s">
        <v>814</v>
      </c>
      <c r="M36" s="671">
        <v>9.6999999999999993</v>
      </c>
      <c r="N36" s="671">
        <v>43.649999999999991</v>
      </c>
      <c r="O36" s="671">
        <v>62.357142857142847</v>
      </c>
      <c r="P36" s="671">
        <v>0</v>
      </c>
      <c r="Q36" s="671">
        <v>124.71428571428569</v>
      </c>
      <c r="R36" s="671">
        <v>0</v>
      </c>
      <c r="S36" s="671">
        <v>0</v>
      </c>
      <c r="T36" s="671">
        <v>0</v>
      </c>
      <c r="U36" s="671">
        <v>0</v>
      </c>
      <c r="V36" s="671">
        <v>0</v>
      </c>
      <c r="W36" s="671">
        <v>0</v>
      </c>
      <c r="X36" s="671">
        <v>10</v>
      </c>
      <c r="Y36" s="671" t="s">
        <v>112</v>
      </c>
      <c r="Z36" s="673" t="s">
        <v>112</v>
      </c>
    </row>
    <row r="37" spans="1:26" s="625" customFormat="1" ht="25.5">
      <c r="A37" s="624"/>
      <c r="B37" s="851">
        <v>46003</v>
      </c>
      <c r="C37" s="851">
        <v>9130</v>
      </c>
      <c r="D37" s="672" t="s">
        <v>844</v>
      </c>
      <c r="E37" s="671" t="s">
        <v>845</v>
      </c>
      <c r="F37" s="671" t="s">
        <v>846</v>
      </c>
      <c r="G37" s="671" t="s">
        <v>812</v>
      </c>
      <c r="H37" s="671" t="s">
        <v>813</v>
      </c>
      <c r="I37" s="671" t="s">
        <v>845</v>
      </c>
      <c r="J37" s="850">
        <v>41814</v>
      </c>
      <c r="K37" s="850">
        <v>41814</v>
      </c>
      <c r="L37" s="671" t="s">
        <v>814</v>
      </c>
      <c r="M37" s="671">
        <v>1189</v>
      </c>
      <c r="N37" s="671">
        <v>5350.5</v>
      </c>
      <c r="O37" s="671">
        <v>7643.5714285714284</v>
      </c>
      <c r="P37" s="671">
        <v>0</v>
      </c>
      <c r="Q37" s="671">
        <v>15287.142857142859</v>
      </c>
      <c r="R37" s="671">
        <v>0</v>
      </c>
      <c r="S37" s="671">
        <v>0</v>
      </c>
      <c r="T37" s="671">
        <v>0</v>
      </c>
      <c r="U37" s="671">
        <v>0</v>
      </c>
      <c r="V37" s="671">
        <v>0</v>
      </c>
      <c r="W37" s="671">
        <v>0</v>
      </c>
      <c r="X37" s="671">
        <v>500</v>
      </c>
      <c r="Y37" s="671" t="s">
        <v>41</v>
      </c>
      <c r="Z37" s="673" t="s">
        <v>389</v>
      </c>
    </row>
    <row r="38" spans="1:26" s="625" customFormat="1" ht="63.75">
      <c r="A38" s="624"/>
      <c r="B38" s="851">
        <v>46003</v>
      </c>
      <c r="C38" s="851">
        <v>9120</v>
      </c>
      <c r="D38" s="672" t="s">
        <v>847</v>
      </c>
      <c r="E38" s="671" t="s">
        <v>848</v>
      </c>
      <c r="F38" s="671" t="s">
        <v>849</v>
      </c>
      <c r="G38" s="671" t="s">
        <v>812</v>
      </c>
      <c r="H38" s="671" t="s">
        <v>813</v>
      </c>
      <c r="I38" s="671" t="s">
        <v>850</v>
      </c>
      <c r="J38" s="850">
        <v>41936</v>
      </c>
      <c r="K38" s="850">
        <v>41936</v>
      </c>
      <c r="L38" s="671" t="s">
        <v>851</v>
      </c>
      <c r="M38" s="671">
        <v>2974</v>
      </c>
      <c r="N38" s="671">
        <v>13383</v>
      </c>
      <c r="O38" s="671">
        <v>19118.571428571428</v>
      </c>
      <c r="P38" s="671">
        <v>0</v>
      </c>
      <c r="Q38" s="671">
        <v>38237.142857142862</v>
      </c>
      <c r="R38" s="671">
        <v>0</v>
      </c>
      <c r="S38" s="671">
        <v>0</v>
      </c>
      <c r="T38" s="671">
        <v>0</v>
      </c>
      <c r="U38" s="671">
        <v>0</v>
      </c>
      <c r="V38" s="671">
        <v>0</v>
      </c>
      <c r="W38" s="671">
        <v>0</v>
      </c>
      <c r="X38" s="671">
        <v>1600</v>
      </c>
      <c r="Y38" s="671" t="s">
        <v>50</v>
      </c>
      <c r="Z38" s="673" t="s">
        <v>156</v>
      </c>
    </row>
    <row r="39" spans="1:26" s="625" customFormat="1" ht="63.75">
      <c r="A39" s="624"/>
      <c r="B39" s="851">
        <v>46003</v>
      </c>
      <c r="C39" s="851">
        <v>9120</v>
      </c>
      <c r="D39" s="672" t="s">
        <v>852</v>
      </c>
      <c r="E39" s="671" t="s">
        <v>853</v>
      </c>
      <c r="F39" s="671" t="s">
        <v>854</v>
      </c>
      <c r="G39" s="671" t="s">
        <v>812</v>
      </c>
      <c r="H39" s="671" t="s">
        <v>813</v>
      </c>
      <c r="I39" s="671" t="s">
        <v>853</v>
      </c>
      <c r="J39" s="850">
        <v>42039</v>
      </c>
      <c r="K39" s="850">
        <v>42039</v>
      </c>
      <c r="L39" s="671" t="s">
        <v>814</v>
      </c>
      <c r="M39" s="671">
        <v>2126</v>
      </c>
      <c r="N39" s="671">
        <v>7972.5</v>
      </c>
      <c r="O39" s="671">
        <v>11389.285714285714</v>
      </c>
      <c r="P39" s="671">
        <v>22778.571428571431</v>
      </c>
      <c r="Q39" s="671">
        <v>0</v>
      </c>
      <c r="R39" s="671">
        <v>0</v>
      </c>
      <c r="S39" s="671">
        <v>0</v>
      </c>
      <c r="T39" s="671">
        <v>0</v>
      </c>
      <c r="U39" s="671">
        <v>0</v>
      </c>
      <c r="V39" s="671">
        <v>0</v>
      </c>
      <c r="W39" s="671">
        <v>0</v>
      </c>
      <c r="X39" s="671">
        <v>1600</v>
      </c>
      <c r="Y39" s="671" t="s">
        <v>50</v>
      </c>
      <c r="Z39" s="673" t="s">
        <v>156</v>
      </c>
    </row>
    <row r="40" spans="1:26" s="625" customFormat="1" ht="25.5">
      <c r="A40" s="624"/>
      <c r="B40" s="851">
        <v>46003</v>
      </c>
      <c r="C40" s="851">
        <v>9120</v>
      </c>
      <c r="D40" s="672" t="s">
        <v>855</v>
      </c>
      <c r="E40" s="671"/>
      <c r="F40" s="671" t="s">
        <v>856</v>
      </c>
      <c r="G40" s="671" t="s">
        <v>812</v>
      </c>
      <c r="H40" s="671" t="s">
        <v>813</v>
      </c>
      <c r="I40" s="671" t="s">
        <v>857</v>
      </c>
      <c r="J40" s="850">
        <v>42361</v>
      </c>
      <c r="K40" s="850">
        <v>42377</v>
      </c>
      <c r="L40" s="671" t="s">
        <v>858</v>
      </c>
      <c r="M40" s="671">
        <v>2004</v>
      </c>
      <c r="N40" s="671">
        <v>8266.5</v>
      </c>
      <c r="O40" s="671">
        <v>11809.285714285714</v>
      </c>
      <c r="P40" s="671">
        <v>23618.571428571431</v>
      </c>
      <c r="Q40" s="671">
        <v>0</v>
      </c>
      <c r="R40" s="671">
        <v>0</v>
      </c>
      <c r="S40" s="671">
        <v>0</v>
      </c>
      <c r="T40" s="671">
        <v>0</v>
      </c>
      <c r="U40" s="671">
        <v>0</v>
      </c>
      <c r="V40" s="671">
        <v>0</v>
      </c>
      <c r="W40" s="671">
        <v>0</v>
      </c>
      <c r="X40" s="671">
        <v>400</v>
      </c>
      <c r="Y40" s="671" t="s">
        <v>37</v>
      </c>
      <c r="Z40" s="673" t="s">
        <v>389</v>
      </c>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25337.7</v>
      </c>
      <c r="N57" s="629">
        <f>SUM(N27:N56)</f>
        <v>111673.65</v>
      </c>
      <c r="O57" s="629">
        <f t="shared" ref="O57:W57" si="2">SUM(O27:O56)</f>
        <v>159533.78571428571</v>
      </c>
      <c r="P57" s="629">
        <f t="shared" si="2"/>
        <v>198420</v>
      </c>
      <c r="Q57" s="629">
        <f t="shared" si="2"/>
        <v>120647.57142857145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3193</v>
      </c>
      <c r="N58" s="629">
        <f t="shared" ref="N58:W58" si="3">SUMIF($Z$27:$Z$56,"industrie",N27:N56)</f>
        <v>13617</v>
      </c>
      <c r="O58" s="629">
        <f t="shared" si="3"/>
        <v>19452.857142857141</v>
      </c>
      <c r="P58" s="629">
        <f t="shared" si="3"/>
        <v>23618.571428571431</v>
      </c>
      <c r="Q58" s="629">
        <f t="shared" si="3"/>
        <v>15287.142857142859</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5367</v>
      </c>
      <c r="N59" s="629">
        <f ca="1">SUMIF($Z$27:AB56,"tertiair",N27:N56)</f>
        <v>22557</v>
      </c>
      <c r="O59" s="629">
        <f ca="1">SUMIF($Z$27:AC56,"tertiair",O27:O56)</f>
        <v>32224.285714285714</v>
      </c>
      <c r="P59" s="629">
        <f ca="1">SUMIF($Z$27:AD56,"tertiair",P27:P56)</f>
        <v>26211.428571428572</v>
      </c>
      <c r="Q59" s="629">
        <f ca="1">SUMIF($Z$27:AE56,"tertiair",Q27:Q56)</f>
        <v>38237.142857142862</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16777.7</v>
      </c>
      <c r="N60" s="634">
        <f t="shared" ref="N60:W60" si="4">SUMIF($Z$27:$Z$56,"landbouw",N27:N56)</f>
        <v>75499.649999999994</v>
      </c>
      <c r="O60" s="634">
        <f t="shared" si="4"/>
        <v>107856.64285714288</v>
      </c>
      <c r="P60" s="634">
        <f t="shared" si="4"/>
        <v>148590.00000000003</v>
      </c>
      <c r="Q60" s="634">
        <f t="shared" si="4"/>
        <v>67123.285714285725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81702.352941176461</v>
      </c>
      <c r="C100" s="663">
        <f t="shared" si="9"/>
        <v>49678.411764705888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116717.64705882354</v>
      </c>
      <c r="C101" s="666">
        <f t="shared" ref="C101:H101" si="10">$B$97*Q57</f>
        <v>70969.159663865561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179124.89030958875</v>
      </c>
      <c r="D10" s="718">
        <f ca="1">tertiair!C16</f>
        <v>32224.285714285714</v>
      </c>
      <c r="E10" s="718">
        <f ca="1">tertiair!D16</f>
        <v>82231.224081851076</v>
      </c>
      <c r="F10" s="718">
        <f>tertiair!E16</f>
        <v>1053.5155381784639</v>
      </c>
      <c r="G10" s="718">
        <f ca="1">tertiair!F16</f>
        <v>25118.567404209265</v>
      </c>
      <c r="H10" s="718">
        <f>tertiair!G16</f>
        <v>0</v>
      </c>
      <c r="I10" s="718">
        <f>tertiair!H16</f>
        <v>0</v>
      </c>
      <c r="J10" s="718">
        <f>tertiair!I16</f>
        <v>0</v>
      </c>
      <c r="K10" s="718">
        <f>tertiair!J16</f>
        <v>0.20106040325634891</v>
      </c>
      <c r="L10" s="718">
        <f>tertiair!K16</f>
        <v>0</v>
      </c>
      <c r="M10" s="718">
        <f ca="1">tertiair!L16</f>
        <v>0</v>
      </c>
      <c r="N10" s="718">
        <f>tertiair!M16</f>
        <v>0</v>
      </c>
      <c r="O10" s="718">
        <f ca="1">tertiair!N16</f>
        <v>0</v>
      </c>
      <c r="P10" s="718">
        <f>tertiair!O16</f>
        <v>14.070000000000002</v>
      </c>
      <c r="Q10" s="719">
        <f>tertiair!P16</f>
        <v>114.4</v>
      </c>
      <c r="R10" s="721">
        <f ca="1">SUM(C10:Q10)</f>
        <v>319881.15410851652</v>
      </c>
      <c r="S10" s="67"/>
    </row>
    <row r="11" spans="1:19" s="474" customFormat="1">
      <c r="A11" s="870" t="s">
        <v>225</v>
      </c>
      <c r="B11" s="875"/>
      <c r="C11" s="718">
        <f>huishoudens!B8</f>
        <v>95327.80712319618</v>
      </c>
      <c r="D11" s="718">
        <f>huishoudens!C8</f>
        <v>0</v>
      </c>
      <c r="E11" s="718">
        <f>huishoudens!D8</f>
        <v>203349.14569799512</v>
      </c>
      <c r="F11" s="718">
        <f>huishoudens!E8</f>
        <v>4114.8629660214347</v>
      </c>
      <c r="G11" s="718">
        <f>huishoudens!F8</f>
        <v>0</v>
      </c>
      <c r="H11" s="718">
        <f>huishoudens!G8</f>
        <v>0</v>
      </c>
      <c r="I11" s="718">
        <f>huishoudens!H8</f>
        <v>0</v>
      </c>
      <c r="J11" s="718">
        <f>huishoudens!I8</f>
        <v>0</v>
      </c>
      <c r="K11" s="718">
        <f>huishoudens!J8</f>
        <v>4816.5606637662831</v>
      </c>
      <c r="L11" s="718">
        <f>huishoudens!K8</f>
        <v>0</v>
      </c>
      <c r="M11" s="718">
        <f>huishoudens!L8</f>
        <v>0</v>
      </c>
      <c r="N11" s="718">
        <f>huishoudens!M8</f>
        <v>0</v>
      </c>
      <c r="O11" s="718">
        <f>huishoudens!N8</f>
        <v>33318.350041816011</v>
      </c>
      <c r="P11" s="718">
        <f>huishoudens!O8</f>
        <v>1303.8200000000002</v>
      </c>
      <c r="Q11" s="719">
        <f>huishoudens!P8</f>
        <v>2078.2666666666664</v>
      </c>
      <c r="R11" s="721">
        <f>SUM(C11:Q11)</f>
        <v>344308.81315946166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88798.594629867875</v>
      </c>
      <c r="D13" s="718">
        <f>industrie!C18</f>
        <v>19452.857142857141</v>
      </c>
      <c r="E13" s="718">
        <f>industrie!D18</f>
        <v>27920.619811941931</v>
      </c>
      <c r="F13" s="718">
        <f>industrie!E18</f>
        <v>4593.8399192359848</v>
      </c>
      <c r="G13" s="718">
        <f>industrie!F18</f>
        <v>15028.121024448767</v>
      </c>
      <c r="H13" s="718">
        <f>industrie!G18</f>
        <v>0</v>
      </c>
      <c r="I13" s="718">
        <f>industrie!H18</f>
        <v>0</v>
      </c>
      <c r="J13" s="718">
        <f>industrie!I18</f>
        <v>0</v>
      </c>
      <c r="K13" s="718">
        <f>industrie!J18</f>
        <v>167.09928281388906</v>
      </c>
      <c r="L13" s="718">
        <f>industrie!K18</f>
        <v>0</v>
      </c>
      <c r="M13" s="718">
        <f>industrie!L18</f>
        <v>0</v>
      </c>
      <c r="N13" s="718">
        <f>industrie!M18</f>
        <v>0</v>
      </c>
      <c r="O13" s="718">
        <f>industrie!N18</f>
        <v>0</v>
      </c>
      <c r="P13" s="718">
        <f>industrie!O18</f>
        <v>0</v>
      </c>
      <c r="Q13" s="719">
        <f>industrie!P18</f>
        <v>0</v>
      </c>
      <c r="R13" s="721">
        <f>SUM(C13:Q13)</f>
        <v>155961.13181116563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363251.29206265282</v>
      </c>
      <c r="D15" s="723">
        <f t="shared" ref="D15:Q15" ca="1" si="0">SUM(D9:D14)</f>
        <v>51677.142857142855</v>
      </c>
      <c r="E15" s="723">
        <f t="shared" ca="1" si="0"/>
        <v>313500.98959178809</v>
      </c>
      <c r="F15" s="723">
        <f t="shared" si="0"/>
        <v>9762.2184234358829</v>
      </c>
      <c r="G15" s="723">
        <f t="shared" ca="1" si="0"/>
        <v>40146.688428658032</v>
      </c>
      <c r="H15" s="723">
        <f t="shared" si="0"/>
        <v>0</v>
      </c>
      <c r="I15" s="723">
        <f t="shared" si="0"/>
        <v>0</v>
      </c>
      <c r="J15" s="723">
        <f t="shared" si="0"/>
        <v>0</v>
      </c>
      <c r="K15" s="723">
        <f t="shared" si="0"/>
        <v>4983.8610069834285</v>
      </c>
      <c r="L15" s="723">
        <f t="shared" si="0"/>
        <v>0</v>
      </c>
      <c r="M15" s="723">
        <f t="shared" ca="1" si="0"/>
        <v>0</v>
      </c>
      <c r="N15" s="723">
        <f t="shared" si="0"/>
        <v>0</v>
      </c>
      <c r="O15" s="723">
        <f t="shared" ca="1" si="0"/>
        <v>33318.350041816011</v>
      </c>
      <c r="P15" s="723">
        <f t="shared" si="0"/>
        <v>1317.89</v>
      </c>
      <c r="Q15" s="724">
        <f t="shared" si="0"/>
        <v>2192.6666666666665</v>
      </c>
      <c r="R15" s="725">
        <f ca="1">SUM(R9:R14)</f>
        <v>820151.09907914384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3733.5640118531478</v>
      </c>
      <c r="I18" s="718">
        <f>transport!H54</f>
        <v>0</v>
      </c>
      <c r="J18" s="718">
        <f>transport!I54</f>
        <v>0</v>
      </c>
      <c r="K18" s="718">
        <f>transport!J54</f>
        <v>0</v>
      </c>
      <c r="L18" s="718">
        <f>transport!K54</f>
        <v>0</v>
      </c>
      <c r="M18" s="718">
        <f>transport!L54</f>
        <v>0</v>
      </c>
      <c r="N18" s="718">
        <f>transport!M54</f>
        <v>212.04995376974179</v>
      </c>
      <c r="O18" s="718">
        <f>transport!N54</f>
        <v>0</v>
      </c>
      <c r="P18" s="718">
        <f>transport!O54</f>
        <v>0</v>
      </c>
      <c r="Q18" s="719">
        <f>transport!P54</f>
        <v>0</v>
      </c>
      <c r="R18" s="721">
        <f>SUM(C18:Q18)</f>
        <v>3945.6139656228897</v>
      </c>
      <c r="S18" s="67"/>
    </row>
    <row r="19" spans="1:19" s="474" customFormat="1" ht="15" thickBot="1">
      <c r="A19" s="870" t="s">
        <v>307</v>
      </c>
      <c r="B19" s="875"/>
      <c r="C19" s="727">
        <f>transport!B14</f>
        <v>308.69043490216245</v>
      </c>
      <c r="D19" s="727">
        <f>transport!C14</f>
        <v>0</v>
      </c>
      <c r="E19" s="727">
        <f>transport!D14</f>
        <v>1109.4047777287201</v>
      </c>
      <c r="F19" s="727">
        <f>transport!E14</f>
        <v>1609.5281295077352</v>
      </c>
      <c r="G19" s="727">
        <f>transport!F14</f>
        <v>0</v>
      </c>
      <c r="H19" s="727">
        <f>transport!G14</f>
        <v>874820.65902461368</v>
      </c>
      <c r="I19" s="727">
        <f>transport!H14</f>
        <v>126963.3825806775</v>
      </c>
      <c r="J19" s="727">
        <f>transport!I14</f>
        <v>0</v>
      </c>
      <c r="K19" s="727">
        <f>transport!J14</f>
        <v>0</v>
      </c>
      <c r="L19" s="727">
        <f>transport!K14</f>
        <v>0</v>
      </c>
      <c r="M19" s="727">
        <f>transport!L14</f>
        <v>0</v>
      </c>
      <c r="N19" s="727">
        <f>transport!M14</f>
        <v>54880.733255011815</v>
      </c>
      <c r="O19" s="727">
        <f>transport!N14</f>
        <v>0</v>
      </c>
      <c r="P19" s="727">
        <f>transport!O14</f>
        <v>0</v>
      </c>
      <c r="Q19" s="728">
        <f>transport!P14</f>
        <v>0</v>
      </c>
      <c r="R19" s="729">
        <f>SUM(C19:Q19)</f>
        <v>1059692.3982024416</v>
      </c>
      <c r="S19" s="67"/>
    </row>
    <row r="20" spans="1:19" s="474" customFormat="1" ht="15.75" thickBot="1">
      <c r="A20" s="730" t="s">
        <v>230</v>
      </c>
      <c r="B20" s="878"/>
      <c r="C20" s="873">
        <f>SUM(C17:C19)</f>
        <v>308.69043490216245</v>
      </c>
      <c r="D20" s="731">
        <f t="shared" ref="D20:R20" si="1">SUM(D17:D19)</f>
        <v>0</v>
      </c>
      <c r="E20" s="731">
        <f t="shared" si="1"/>
        <v>1109.4047777287201</v>
      </c>
      <c r="F20" s="731">
        <f t="shared" si="1"/>
        <v>1609.5281295077352</v>
      </c>
      <c r="G20" s="731">
        <f t="shared" si="1"/>
        <v>0</v>
      </c>
      <c r="H20" s="731">
        <f t="shared" si="1"/>
        <v>878554.22303646686</v>
      </c>
      <c r="I20" s="731">
        <f t="shared" si="1"/>
        <v>126963.3825806775</v>
      </c>
      <c r="J20" s="731">
        <f t="shared" si="1"/>
        <v>0</v>
      </c>
      <c r="K20" s="731">
        <f t="shared" si="1"/>
        <v>0</v>
      </c>
      <c r="L20" s="731">
        <f t="shared" si="1"/>
        <v>0</v>
      </c>
      <c r="M20" s="731">
        <f t="shared" si="1"/>
        <v>0</v>
      </c>
      <c r="N20" s="731">
        <f t="shared" si="1"/>
        <v>55092.783208781555</v>
      </c>
      <c r="O20" s="731">
        <f t="shared" si="1"/>
        <v>0</v>
      </c>
      <c r="P20" s="731">
        <f t="shared" si="1"/>
        <v>0</v>
      </c>
      <c r="Q20" s="732">
        <f t="shared" si="1"/>
        <v>0</v>
      </c>
      <c r="R20" s="733">
        <f t="shared" si="1"/>
        <v>1063638.0121680645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10735.454325723567</v>
      </c>
      <c r="D22" s="727">
        <f>+landbouw!C8</f>
        <v>107856.64285714288</v>
      </c>
      <c r="E22" s="727">
        <f>+landbouw!D8</f>
        <v>0</v>
      </c>
      <c r="F22" s="727">
        <f>+landbouw!E8</f>
        <v>315.54779249518145</v>
      </c>
      <c r="G22" s="727">
        <f>+landbouw!F8</f>
        <v>44723.322607461429</v>
      </c>
      <c r="H22" s="727">
        <f>+landbouw!G8</f>
        <v>0</v>
      </c>
      <c r="I22" s="727">
        <f>+landbouw!H8</f>
        <v>0</v>
      </c>
      <c r="J22" s="727">
        <f>+landbouw!I8</f>
        <v>0</v>
      </c>
      <c r="K22" s="727">
        <f>+landbouw!J8</f>
        <v>1555.3367852766598</v>
      </c>
      <c r="L22" s="727">
        <f>+landbouw!K8</f>
        <v>0</v>
      </c>
      <c r="M22" s="727">
        <f>+landbouw!L8</f>
        <v>0</v>
      </c>
      <c r="N22" s="727">
        <f>+landbouw!M8</f>
        <v>0</v>
      </c>
      <c r="O22" s="727">
        <f>+landbouw!N8</f>
        <v>0</v>
      </c>
      <c r="P22" s="727">
        <f>+landbouw!O8</f>
        <v>0</v>
      </c>
      <c r="Q22" s="728">
        <f>+landbouw!P8</f>
        <v>0</v>
      </c>
      <c r="R22" s="729">
        <f>SUM(C22:Q22)</f>
        <v>165186.30436809972</v>
      </c>
      <c r="S22" s="67"/>
    </row>
    <row r="23" spans="1:19" s="474" customFormat="1" ht="17.25" thickTop="1" thickBot="1">
      <c r="A23" s="734" t="s">
        <v>116</v>
      </c>
      <c r="B23" s="864"/>
      <c r="C23" s="735">
        <f ca="1">C20+C15+C22</f>
        <v>374295.43682327855</v>
      </c>
      <c r="D23" s="735">
        <f t="shared" ref="D23:Q23" ca="1" si="2">D20+D15+D22</f>
        <v>159533.78571428574</v>
      </c>
      <c r="E23" s="735">
        <f t="shared" ca="1" si="2"/>
        <v>314610.39436951681</v>
      </c>
      <c r="F23" s="735">
        <f t="shared" si="2"/>
        <v>11687.294345438799</v>
      </c>
      <c r="G23" s="735">
        <f t="shared" ca="1" si="2"/>
        <v>84870.011036119453</v>
      </c>
      <c r="H23" s="735">
        <f t="shared" si="2"/>
        <v>878554.22303646686</v>
      </c>
      <c r="I23" s="735">
        <f t="shared" si="2"/>
        <v>126963.3825806775</v>
      </c>
      <c r="J23" s="735">
        <f t="shared" si="2"/>
        <v>0</v>
      </c>
      <c r="K23" s="735">
        <f t="shared" si="2"/>
        <v>6539.1977922600881</v>
      </c>
      <c r="L23" s="735">
        <f t="shared" si="2"/>
        <v>0</v>
      </c>
      <c r="M23" s="735">
        <f t="shared" ca="1" si="2"/>
        <v>0</v>
      </c>
      <c r="N23" s="735">
        <f t="shared" si="2"/>
        <v>55092.783208781555</v>
      </c>
      <c r="O23" s="735">
        <f t="shared" ca="1" si="2"/>
        <v>33318.350041816011</v>
      </c>
      <c r="P23" s="735">
        <f t="shared" si="2"/>
        <v>1317.89</v>
      </c>
      <c r="Q23" s="736">
        <f t="shared" si="2"/>
        <v>2192.6666666666665</v>
      </c>
      <c r="R23" s="737">
        <f ca="1">R20+R15+R22</f>
        <v>2048975.4156153081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18947.918465183713</v>
      </c>
      <c r="D36" s="718">
        <f ca="1">tertiair!C20</f>
        <v>4762.3194269246887</v>
      </c>
      <c r="E36" s="718">
        <f ca="1">tertiair!D20</f>
        <v>16610.707264533918</v>
      </c>
      <c r="F36" s="718">
        <f>tertiair!E20</f>
        <v>239.1480271665113</v>
      </c>
      <c r="G36" s="718">
        <f ca="1">tertiair!F20</f>
        <v>6706.6574969238745</v>
      </c>
      <c r="H36" s="718">
        <f>tertiair!G20</f>
        <v>0</v>
      </c>
      <c r="I36" s="718">
        <f>tertiair!H20</f>
        <v>0</v>
      </c>
      <c r="J36" s="718">
        <f>tertiair!I20</f>
        <v>0</v>
      </c>
      <c r="K36" s="718">
        <f>tertiair!J20</f>
        <v>7.1175382752747512E-2</v>
      </c>
      <c r="L36" s="718">
        <f>tertiair!K20</f>
        <v>0</v>
      </c>
      <c r="M36" s="718">
        <f ca="1">tertiair!L20</f>
        <v>0</v>
      </c>
      <c r="N36" s="718">
        <f>tertiair!M20</f>
        <v>0</v>
      </c>
      <c r="O36" s="718">
        <f ca="1">tertiair!N20</f>
        <v>0</v>
      </c>
      <c r="P36" s="718">
        <f>tertiair!O20</f>
        <v>0</v>
      </c>
      <c r="Q36" s="828">
        <f>tertiair!P20</f>
        <v>0</v>
      </c>
      <c r="R36" s="917">
        <f ca="1">SUM(C36:Q36)</f>
        <v>47266.821856115464</v>
      </c>
    </row>
    <row r="37" spans="1:18">
      <c r="A37" s="885" t="s">
        <v>225</v>
      </c>
      <c r="B37" s="892"/>
      <c r="C37" s="718">
        <f ca="1">huishoudens!B12</f>
        <v>10083.822040104213</v>
      </c>
      <c r="D37" s="718">
        <f ca="1">huishoudens!C12</f>
        <v>0</v>
      </c>
      <c r="E37" s="718">
        <f>huishoudens!D12</f>
        <v>41076.527430995018</v>
      </c>
      <c r="F37" s="718">
        <f>huishoudens!E12</f>
        <v>934.07389328686565</v>
      </c>
      <c r="G37" s="718">
        <f>huishoudens!F12</f>
        <v>0</v>
      </c>
      <c r="H37" s="718">
        <f>huishoudens!G12</f>
        <v>0</v>
      </c>
      <c r="I37" s="718">
        <f>huishoudens!H12</f>
        <v>0</v>
      </c>
      <c r="J37" s="718">
        <f>huishoudens!I12</f>
        <v>0</v>
      </c>
      <c r="K37" s="718">
        <f>huishoudens!J12</f>
        <v>1705.0624749732642</v>
      </c>
      <c r="L37" s="718">
        <f>huishoudens!K12</f>
        <v>0</v>
      </c>
      <c r="M37" s="718">
        <f>huishoudens!L12</f>
        <v>0</v>
      </c>
      <c r="N37" s="718">
        <f>huishoudens!M12</f>
        <v>0</v>
      </c>
      <c r="O37" s="718">
        <f>huishoudens!N12</f>
        <v>0</v>
      </c>
      <c r="P37" s="718">
        <f>huishoudens!O12</f>
        <v>0</v>
      </c>
      <c r="Q37" s="828">
        <f>huishoudens!P12</f>
        <v>0</v>
      </c>
      <c r="R37" s="917">
        <f ca="1">SUM(C37:Q37)</f>
        <v>53799.48583935936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9393.15875064387</v>
      </c>
      <c r="D39" s="718">
        <f ca="1">industrie!C22</f>
        <v>2874.8727063188139</v>
      </c>
      <c r="E39" s="718">
        <f>industrie!D22</f>
        <v>5639.9652020122703</v>
      </c>
      <c r="F39" s="718">
        <f>industrie!E22</f>
        <v>1042.8016616665686</v>
      </c>
      <c r="G39" s="718">
        <f>industrie!F22</f>
        <v>4012.508313527821</v>
      </c>
      <c r="H39" s="718">
        <f>industrie!G22</f>
        <v>0</v>
      </c>
      <c r="I39" s="718">
        <f>industrie!H22</f>
        <v>0</v>
      </c>
      <c r="J39" s="718">
        <f>industrie!I22</f>
        <v>0</v>
      </c>
      <c r="K39" s="718">
        <f>industrie!J22</f>
        <v>59.153146116116723</v>
      </c>
      <c r="L39" s="718">
        <f>industrie!K22</f>
        <v>0</v>
      </c>
      <c r="M39" s="718">
        <f>industrie!L22</f>
        <v>0</v>
      </c>
      <c r="N39" s="718">
        <f>industrie!M22</f>
        <v>0</v>
      </c>
      <c r="O39" s="718">
        <f>industrie!N22</f>
        <v>0</v>
      </c>
      <c r="P39" s="718">
        <f>industrie!O22</f>
        <v>0</v>
      </c>
      <c r="Q39" s="828">
        <f>industrie!P22</f>
        <v>0</v>
      </c>
      <c r="R39" s="918">
        <f ca="1">SUM(C39:Q39)</f>
        <v>23022.459780285462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38424.899255931799</v>
      </c>
      <c r="D41" s="763">
        <f t="shared" ref="D41:R41" ca="1" si="4">SUM(D35:D40)</f>
        <v>7637.1921332435031</v>
      </c>
      <c r="E41" s="763">
        <f t="shared" ca="1" si="4"/>
        <v>63327.199897541213</v>
      </c>
      <c r="F41" s="763">
        <f t="shared" si="4"/>
        <v>2216.0235821199458</v>
      </c>
      <c r="G41" s="763">
        <f t="shared" ca="1" si="4"/>
        <v>10719.165810451696</v>
      </c>
      <c r="H41" s="763">
        <f t="shared" si="4"/>
        <v>0</v>
      </c>
      <c r="I41" s="763">
        <f t="shared" si="4"/>
        <v>0</v>
      </c>
      <c r="J41" s="763">
        <f t="shared" si="4"/>
        <v>0</v>
      </c>
      <c r="K41" s="763">
        <f t="shared" si="4"/>
        <v>1764.2867964721336</v>
      </c>
      <c r="L41" s="763">
        <f t="shared" si="4"/>
        <v>0</v>
      </c>
      <c r="M41" s="763">
        <f t="shared" ca="1" si="4"/>
        <v>0</v>
      </c>
      <c r="N41" s="763">
        <f t="shared" si="4"/>
        <v>0</v>
      </c>
      <c r="O41" s="763">
        <f t="shared" ca="1" si="4"/>
        <v>0</v>
      </c>
      <c r="P41" s="763">
        <f t="shared" si="4"/>
        <v>0</v>
      </c>
      <c r="Q41" s="764">
        <f t="shared" si="4"/>
        <v>0</v>
      </c>
      <c r="R41" s="765">
        <f t="shared" ca="1" si="4"/>
        <v>124088.76747576028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996.86159116479052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996.86159116479052</v>
      </c>
    </row>
    <row r="45" spans="1:18" ht="15" thickBot="1">
      <c r="A45" s="888" t="s">
        <v>307</v>
      </c>
      <c r="B45" s="898"/>
      <c r="C45" s="727">
        <f ca="1">transport!B18</f>
        <v>32.653425112496329</v>
      </c>
      <c r="D45" s="727">
        <f>transport!C18</f>
        <v>0</v>
      </c>
      <c r="E45" s="727">
        <f>transport!D18</f>
        <v>224.09976510120148</v>
      </c>
      <c r="F45" s="727">
        <f>transport!E18</f>
        <v>365.36288539825591</v>
      </c>
      <c r="G45" s="727">
        <f>transport!F18</f>
        <v>0</v>
      </c>
      <c r="H45" s="727">
        <f>transport!G18</f>
        <v>233577.11595957188</v>
      </c>
      <c r="I45" s="727">
        <f>transport!H18</f>
        <v>31613.882262588697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265813.11429777252</v>
      </c>
    </row>
    <row r="46" spans="1:18" ht="15.75" thickBot="1">
      <c r="A46" s="886" t="s">
        <v>230</v>
      </c>
      <c r="B46" s="899"/>
      <c r="C46" s="763">
        <f t="shared" ref="C46:R46" ca="1" si="5">SUM(C43:C45)</f>
        <v>32.653425112496329</v>
      </c>
      <c r="D46" s="763">
        <f t="shared" ca="1" si="5"/>
        <v>0</v>
      </c>
      <c r="E46" s="763">
        <f t="shared" si="5"/>
        <v>224.09976510120148</v>
      </c>
      <c r="F46" s="763">
        <f t="shared" si="5"/>
        <v>365.36288539825591</v>
      </c>
      <c r="G46" s="763">
        <f t="shared" si="5"/>
        <v>0</v>
      </c>
      <c r="H46" s="763">
        <f t="shared" si="5"/>
        <v>234573.97755073666</v>
      </c>
      <c r="I46" s="763">
        <f t="shared" si="5"/>
        <v>31613.882262588697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266809.9758889373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1135.6016067836497</v>
      </c>
      <c r="D48" s="718">
        <f ca="1">+landbouw!C12</f>
        <v>15939.772572638856</v>
      </c>
      <c r="E48" s="718">
        <f>+landbouw!D12</f>
        <v>0</v>
      </c>
      <c r="F48" s="718">
        <f>+landbouw!E12</f>
        <v>71.629348896406199</v>
      </c>
      <c r="G48" s="718">
        <f>+landbouw!F12</f>
        <v>11941.127136192203</v>
      </c>
      <c r="H48" s="718">
        <f>+landbouw!G12</f>
        <v>0</v>
      </c>
      <c r="I48" s="718">
        <f>+landbouw!H12</f>
        <v>0</v>
      </c>
      <c r="J48" s="718">
        <f>+landbouw!I12</f>
        <v>0</v>
      </c>
      <c r="K48" s="718">
        <f>+landbouw!J12</f>
        <v>550.58922198793755</v>
      </c>
      <c r="L48" s="718">
        <f>+landbouw!K12</f>
        <v>0</v>
      </c>
      <c r="M48" s="718">
        <f>+landbouw!L12</f>
        <v>0</v>
      </c>
      <c r="N48" s="718">
        <f>+landbouw!M12</f>
        <v>0</v>
      </c>
      <c r="O48" s="718">
        <f>+landbouw!N12</f>
        <v>0</v>
      </c>
      <c r="P48" s="718">
        <f>+landbouw!O12</f>
        <v>0</v>
      </c>
      <c r="Q48" s="719">
        <f>+landbouw!P12</f>
        <v>0</v>
      </c>
      <c r="R48" s="761">
        <f ca="1">SUM(C48:Q48)</f>
        <v>29638.719886499057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39593.154287827943</v>
      </c>
      <c r="D53" s="773">
        <f t="shared" ref="D53:Q53" ca="1" si="6">D41+D46+D48</f>
        <v>23576.964705882361</v>
      </c>
      <c r="E53" s="773">
        <f t="shared" ca="1" si="6"/>
        <v>63551.299662642414</v>
      </c>
      <c r="F53" s="773">
        <f t="shared" si="6"/>
        <v>2653.0158164146078</v>
      </c>
      <c r="G53" s="773">
        <f t="shared" ca="1" si="6"/>
        <v>22660.292946643898</v>
      </c>
      <c r="H53" s="773">
        <f t="shared" si="6"/>
        <v>234573.97755073666</v>
      </c>
      <c r="I53" s="773">
        <f t="shared" si="6"/>
        <v>31613.882262588697</v>
      </c>
      <c r="J53" s="773">
        <f t="shared" si="6"/>
        <v>0</v>
      </c>
      <c r="K53" s="773">
        <f t="shared" si="6"/>
        <v>2314.876018460071</v>
      </c>
      <c r="L53" s="773">
        <f t="shared" si="6"/>
        <v>0</v>
      </c>
      <c r="M53" s="773">
        <f t="shared" ca="1" si="6"/>
        <v>0</v>
      </c>
      <c r="N53" s="773">
        <f t="shared" si="6"/>
        <v>0</v>
      </c>
      <c r="O53" s="773">
        <f t="shared" ca="1" si="6"/>
        <v>0</v>
      </c>
      <c r="P53" s="773">
        <f>P41+P46+P48</f>
        <v>0</v>
      </c>
      <c r="Q53" s="774">
        <f t="shared" si="6"/>
        <v>0</v>
      </c>
      <c r="R53" s="775">
        <f ca="1">R41+R46+R48</f>
        <v>420537.4632511966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0.10578048886693114</v>
      </c>
      <c r="D55" s="836">
        <f t="shared" ca="1" si="7"/>
        <v>0.1477866559758515</v>
      </c>
      <c r="E55" s="836">
        <f t="shared" ca="1" si="7"/>
        <v>0.20200000000000007</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111952.98052691984</v>
      </c>
      <c r="C64" s="795">
        <f>'lokale energieproductie'!B4</f>
        <v>111952.98052691984</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46192.430759208051</v>
      </c>
      <c r="C66" s="795">
        <f>'lokale energieproductie'!B6</f>
        <v>46192.430759208051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111673.65</v>
      </c>
      <c r="C67" s="794">
        <f>B67*IFERROR(SUM(J67:L67)/SUM(D67:M67),0)</f>
        <v>42226.65</v>
      </c>
      <c r="D67" s="826">
        <f>'lokale energieproductie'!C7</f>
        <v>81702.352941176461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49678.411764705888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16503.875294117646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269819.06128612789</v>
      </c>
      <c r="C69" s="803">
        <f>SUM(C64:C68)</f>
        <v>200372.06128612789</v>
      </c>
      <c r="D69" s="804">
        <f t="shared" ref="D69:M69" si="8">SUM(D67:D68)</f>
        <v>81702.352941176461</v>
      </c>
      <c r="E69" s="804">
        <f t="shared" si="8"/>
        <v>0</v>
      </c>
      <c r="F69" s="804">
        <f t="shared" si="8"/>
        <v>0</v>
      </c>
      <c r="G69" s="804">
        <f t="shared" si="8"/>
        <v>0</v>
      </c>
      <c r="H69" s="804">
        <f t="shared" si="8"/>
        <v>0</v>
      </c>
      <c r="I69" s="804">
        <f t="shared" si="8"/>
        <v>0</v>
      </c>
      <c r="J69" s="804">
        <f t="shared" si="8"/>
        <v>0</v>
      </c>
      <c r="K69" s="804">
        <f t="shared" si="8"/>
        <v>49678.411764705888</v>
      </c>
      <c r="L69" s="804">
        <f t="shared" si="8"/>
        <v>0</v>
      </c>
      <c r="M69" s="930">
        <f t="shared" si="8"/>
        <v>0</v>
      </c>
      <c r="N69" s="805">
        <v>0</v>
      </c>
      <c r="O69" s="805">
        <f>SUM(O67:O68)</f>
        <v>16503.875294117646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159533.78571428571</v>
      </c>
      <c r="C78" s="817">
        <f>B78*IFERROR(SUM(I78:L78)/SUM(D78:M78),0)</f>
        <v>60323.785714285717</v>
      </c>
      <c r="D78" s="832">
        <f>'lokale energieproductie'!C16</f>
        <v>116717.64705882354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70969.159663865561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23576.964705882358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159533.78571428571</v>
      </c>
      <c r="C81" s="803">
        <f>SUM(C78:C80)</f>
        <v>60323.785714285717</v>
      </c>
      <c r="D81" s="803">
        <f t="shared" ref="D81:P81" si="9">SUM(D78:D80)</f>
        <v>116717.64705882354</v>
      </c>
      <c r="E81" s="803">
        <f t="shared" si="9"/>
        <v>0</v>
      </c>
      <c r="F81" s="803">
        <f t="shared" si="9"/>
        <v>0</v>
      </c>
      <c r="G81" s="803">
        <f t="shared" si="9"/>
        <v>0</v>
      </c>
      <c r="H81" s="803">
        <f t="shared" si="9"/>
        <v>0</v>
      </c>
      <c r="I81" s="803">
        <f t="shared" si="9"/>
        <v>0</v>
      </c>
      <c r="J81" s="803">
        <f t="shared" si="9"/>
        <v>0</v>
      </c>
      <c r="K81" s="803">
        <f t="shared" si="9"/>
        <v>70969.159663865561</v>
      </c>
      <c r="L81" s="803">
        <f t="shared" si="9"/>
        <v>0</v>
      </c>
      <c r="M81" s="803">
        <f t="shared" si="9"/>
        <v>0</v>
      </c>
      <c r="N81" s="803">
        <v>0</v>
      </c>
      <c r="O81" s="803">
        <f>SUM(O78:O80)</f>
        <v>23576.964705882358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95327.80712319618</v>
      </c>
      <c r="C4" s="478">
        <f>huishoudens!C8</f>
        <v>0</v>
      </c>
      <c r="D4" s="478">
        <f>huishoudens!D8</f>
        <v>203349.14569799512</v>
      </c>
      <c r="E4" s="478">
        <f>huishoudens!E8</f>
        <v>4114.8629660214347</v>
      </c>
      <c r="F4" s="478">
        <f>huishoudens!F8</f>
        <v>0</v>
      </c>
      <c r="G4" s="478">
        <f>huishoudens!G8</f>
        <v>0</v>
      </c>
      <c r="H4" s="478">
        <f>huishoudens!H8</f>
        <v>0</v>
      </c>
      <c r="I4" s="478">
        <f>huishoudens!I8</f>
        <v>0</v>
      </c>
      <c r="J4" s="478">
        <f>huishoudens!J8</f>
        <v>4816.5606637662831</v>
      </c>
      <c r="K4" s="478">
        <f>huishoudens!K8</f>
        <v>0</v>
      </c>
      <c r="L4" s="478">
        <f>huishoudens!L8</f>
        <v>0</v>
      </c>
      <c r="M4" s="478">
        <f>huishoudens!M8</f>
        <v>0</v>
      </c>
      <c r="N4" s="478">
        <f>huishoudens!N8</f>
        <v>33318.350041816011</v>
      </c>
      <c r="O4" s="478">
        <f>huishoudens!O8</f>
        <v>1303.8200000000002</v>
      </c>
      <c r="P4" s="479">
        <f>huishoudens!P8</f>
        <v>2078.2666666666664</v>
      </c>
      <c r="Q4" s="480">
        <f>SUM(B4:P4)</f>
        <v>344308.81315946166</v>
      </c>
    </row>
    <row r="5" spans="1:17">
      <c r="A5" s="477" t="s">
        <v>156</v>
      </c>
      <c r="B5" s="478">
        <f ca="1">tertiair!B16</f>
        <v>176173.16930958876</v>
      </c>
      <c r="C5" s="478">
        <f ca="1">tertiair!C16</f>
        <v>32224.285714285714</v>
      </c>
      <c r="D5" s="478">
        <f ca="1">tertiair!D16</f>
        <v>82231.224081851076</v>
      </c>
      <c r="E5" s="478">
        <f>tertiair!E16</f>
        <v>1053.5155381784639</v>
      </c>
      <c r="F5" s="478">
        <f ca="1">tertiair!F16</f>
        <v>25118.567404209265</v>
      </c>
      <c r="G5" s="478">
        <f>tertiair!G16</f>
        <v>0</v>
      </c>
      <c r="H5" s="478">
        <f>tertiair!H16</f>
        <v>0</v>
      </c>
      <c r="I5" s="478">
        <f>tertiair!I16</f>
        <v>0</v>
      </c>
      <c r="J5" s="478">
        <f>tertiair!J16</f>
        <v>0.20106040325634891</v>
      </c>
      <c r="K5" s="478">
        <f>tertiair!K16</f>
        <v>0</v>
      </c>
      <c r="L5" s="478">
        <f ca="1">tertiair!L16</f>
        <v>0</v>
      </c>
      <c r="M5" s="478">
        <f>tertiair!M16</f>
        <v>0</v>
      </c>
      <c r="N5" s="478">
        <f ca="1">tertiair!N16</f>
        <v>0</v>
      </c>
      <c r="O5" s="478">
        <f>tertiair!O16</f>
        <v>14.070000000000002</v>
      </c>
      <c r="P5" s="479">
        <f>tertiair!P16</f>
        <v>114.4</v>
      </c>
      <c r="Q5" s="477">
        <f t="shared" ref="Q5:Q13" ca="1" si="0">SUM(B5:P5)</f>
        <v>316929.43310851656</v>
      </c>
    </row>
    <row r="6" spans="1:17">
      <c r="A6" s="477" t="s">
        <v>194</v>
      </c>
      <c r="B6" s="478">
        <f>'openbare verlichting'!B8</f>
        <v>2951.721</v>
      </c>
      <c r="C6" s="478"/>
      <c r="D6" s="478"/>
      <c r="E6" s="478"/>
      <c r="F6" s="478"/>
      <c r="G6" s="478"/>
      <c r="H6" s="478"/>
      <c r="I6" s="478"/>
      <c r="J6" s="478"/>
      <c r="K6" s="478"/>
      <c r="L6" s="478"/>
      <c r="M6" s="478"/>
      <c r="N6" s="478"/>
      <c r="O6" s="478"/>
      <c r="P6" s="479"/>
      <c r="Q6" s="477">
        <f t="shared" si="0"/>
        <v>2951.721</v>
      </c>
    </row>
    <row r="7" spans="1:17">
      <c r="A7" s="477" t="s">
        <v>112</v>
      </c>
      <c r="B7" s="478">
        <f>landbouw!B8</f>
        <v>10735.454325723567</v>
      </c>
      <c r="C7" s="478">
        <f>landbouw!C8</f>
        <v>107856.64285714288</v>
      </c>
      <c r="D7" s="478">
        <f>landbouw!D8</f>
        <v>0</v>
      </c>
      <c r="E7" s="478">
        <f>landbouw!E8</f>
        <v>315.54779249518145</v>
      </c>
      <c r="F7" s="478">
        <f>landbouw!F8</f>
        <v>44723.322607461429</v>
      </c>
      <c r="G7" s="478">
        <f>landbouw!G8</f>
        <v>0</v>
      </c>
      <c r="H7" s="478">
        <f>landbouw!H8</f>
        <v>0</v>
      </c>
      <c r="I7" s="478">
        <f>landbouw!I8</f>
        <v>0</v>
      </c>
      <c r="J7" s="478">
        <f>landbouw!J8</f>
        <v>1555.3367852766598</v>
      </c>
      <c r="K7" s="478">
        <f>landbouw!K8</f>
        <v>0</v>
      </c>
      <c r="L7" s="478">
        <f>landbouw!L8</f>
        <v>0</v>
      </c>
      <c r="M7" s="478">
        <f>landbouw!M8</f>
        <v>0</v>
      </c>
      <c r="N7" s="478">
        <f>landbouw!N8</f>
        <v>0</v>
      </c>
      <c r="O7" s="478">
        <f>landbouw!O8</f>
        <v>0</v>
      </c>
      <c r="P7" s="479">
        <f>landbouw!P8</f>
        <v>0</v>
      </c>
      <c r="Q7" s="477">
        <f t="shared" si="0"/>
        <v>165186.30436809972</v>
      </c>
    </row>
    <row r="8" spans="1:17">
      <c r="A8" s="477" t="s">
        <v>635</v>
      </c>
      <c r="B8" s="478">
        <f>industrie!B18</f>
        <v>88798.594629867875</v>
      </c>
      <c r="C8" s="478">
        <f>industrie!C18</f>
        <v>19452.857142857141</v>
      </c>
      <c r="D8" s="478">
        <f>industrie!D18</f>
        <v>27920.619811941931</v>
      </c>
      <c r="E8" s="478">
        <f>industrie!E18</f>
        <v>4593.8399192359848</v>
      </c>
      <c r="F8" s="478">
        <f>industrie!F18</f>
        <v>15028.121024448767</v>
      </c>
      <c r="G8" s="478">
        <f>industrie!G18</f>
        <v>0</v>
      </c>
      <c r="H8" s="478">
        <f>industrie!H18</f>
        <v>0</v>
      </c>
      <c r="I8" s="478">
        <f>industrie!I18</f>
        <v>0</v>
      </c>
      <c r="J8" s="478">
        <f>industrie!J18</f>
        <v>167.09928281388906</v>
      </c>
      <c r="K8" s="478">
        <f>industrie!K18</f>
        <v>0</v>
      </c>
      <c r="L8" s="478">
        <f>industrie!L18</f>
        <v>0</v>
      </c>
      <c r="M8" s="478">
        <f>industrie!M18</f>
        <v>0</v>
      </c>
      <c r="N8" s="478">
        <f>industrie!N18</f>
        <v>0</v>
      </c>
      <c r="O8" s="478">
        <f>industrie!O18</f>
        <v>0</v>
      </c>
      <c r="P8" s="479">
        <f>industrie!P18</f>
        <v>0</v>
      </c>
      <c r="Q8" s="477">
        <f t="shared" si="0"/>
        <v>155961.13181116563</v>
      </c>
    </row>
    <row r="9" spans="1:17" s="483" customFormat="1">
      <c r="A9" s="481" t="s">
        <v>561</v>
      </c>
      <c r="B9" s="482">
        <f>transport!B14</f>
        <v>308.69043490216245</v>
      </c>
      <c r="C9" s="482">
        <f>transport!C14</f>
        <v>0</v>
      </c>
      <c r="D9" s="482">
        <f>transport!D14</f>
        <v>1109.4047777287201</v>
      </c>
      <c r="E9" s="482">
        <f>transport!E14</f>
        <v>1609.5281295077352</v>
      </c>
      <c r="F9" s="482">
        <f>transport!F14</f>
        <v>0</v>
      </c>
      <c r="G9" s="482">
        <f>transport!G14</f>
        <v>874820.65902461368</v>
      </c>
      <c r="H9" s="482">
        <f>transport!H14</f>
        <v>126963.3825806775</v>
      </c>
      <c r="I9" s="482">
        <f>transport!I14</f>
        <v>0</v>
      </c>
      <c r="J9" s="482">
        <f>transport!J14</f>
        <v>0</v>
      </c>
      <c r="K9" s="482">
        <f>transport!K14</f>
        <v>0</v>
      </c>
      <c r="L9" s="482">
        <f>transport!L14</f>
        <v>0</v>
      </c>
      <c r="M9" s="482">
        <f>transport!M14</f>
        <v>54880.733255011815</v>
      </c>
      <c r="N9" s="482">
        <f>transport!N14</f>
        <v>0</v>
      </c>
      <c r="O9" s="482">
        <f>transport!O14</f>
        <v>0</v>
      </c>
      <c r="P9" s="482">
        <f>transport!P14</f>
        <v>0</v>
      </c>
      <c r="Q9" s="481">
        <f>SUM(B9:P9)</f>
        <v>1059692.3982024416</v>
      </c>
    </row>
    <row r="10" spans="1:17">
      <c r="A10" s="477" t="s">
        <v>551</v>
      </c>
      <c r="B10" s="478">
        <f>transport!B54</f>
        <v>0</v>
      </c>
      <c r="C10" s="478">
        <f>transport!C54</f>
        <v>0</v>
      </c>
      <c r="D10" s="478">
        <f>transport!D54</f>
        <v>0</v>
      </c>
      <c r="E10" s="478">
        <f>transport!E54</f>
        <v>0</v>
      </c>
      <c r="F10" s="478">
        <f>transport!F54</f>
        <v>0</v>
      </c>
      <c r="G10" s="478">
        <f>transport!G54</f>
        <v>3733.5640118531478</v>
      </c>
      <c r="H10" s="478">
        <f>transport!H54</f>
        <v>0</v>
      </c>
      <c r="I10" s="478">
        <f>transport!I54</f>
        <v>0</v>
      </c>
      <c r="J10" s="478">
        <f>transport!J54</f>
        <v>0</v>
      </c>
      <c r="K10" s="478">
        <f>transport!K54</f>
        <v>0</v>
      </c>
      <c r="L10" s="478">
        <f>transport!L54</f>
        <v>0</v>
      </c>
      <c r="M10" s="478">
        <f>transport!M54</f>
        <v>212.04995376974179</v>
      </c>
      <c r="N10" s="478">
        <f>transport!N54</f>
        <v>0</v>
      </c>
      <c r="O10" s="478">
        <f>transport!O54</f>
        <v>0</v>
      </c>
      <c r="P10" s="479">
        <f>transport!P54</f>
        <v>0</v>
      </c>
      <c r="Q10" s="477">
        <f t="shared" si="0"/>
        <v>3945.6139656228897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374295.43682327855</v>
      </c>
      <c r="C14" s="488">
        <f t="shared" ref="C14:Q14" ca="1" si="1">SUM(C4:C13)</f>
        <v>159533.78571428574</v>
      </c>
      <c r="D14" s="488">
        <f t="shared" ca="1" si="1"/>
        <v>314610.39436951681</v>
      </c>
      <c r="E14" s="488">
        <f t="shared" si="1"/>
        <v>11687.294345438799</v>
      </c>
      <c r="F14" s="488">
        <f t="shared" ca="1" si="1"/>
        <v>84870.011036119453</v>
      </c>
      <c r="G14" s="488">
        <f t="shared" si="1"/>
        <v>878554.22303646686</v>
      </c>
      <c r="H14" s="488">
        <f t="shared" si="1"/>
        <v>126963.3825806775</v>
      </c>
      <c r="I14" s="488">
        <f t="shared" si="1"/>
        <v>0</v>
      </c>
      <c r="J14" s="488">
        <f t="shared" si="1"/>
        <v>6539.1977922600881</v>
      </c>
      <c r="K14" s="488">
        <f t="shared" si="1"/>
        <v>0</v>
      </c>
      <c r="L14" s="488">
        <f t="shared" ca="1" si="1"/>
        <v>0</v>
      </c>
      <c r="M14" s="488">
        <f t="shared" si="1"/>
        <v>55092.783208781555</v>
      </c>
      <c r="N14" s="488">
        <f t="shared" ca="1" si="1"/>
        <v>33318.350041816011</v>
      </c>
      <c r="O14" s="488">
        <f t="shared" si="1"/>
        <v>1317.89</v>
      </c>
      <c r="P14" s="489">
        <f t="shared" si="1"/>
        <v>2192.6666666666665</v>
      </c>
      <c r="Q14" s="489">
        <f t="shared" ca="1" si="1"/>
        <v>2048975.4156153079</v>
      </c>
    </row>
    <row r="16" spans="1:17">
      <c r="A16" s="491" t="s">
        <v>556</v>
      </c>
      <c r="B16" s="841">
        <f ca="1">huishoudens!B10</f>
        <v>0.10578048886693114</v>
      </c>
      <c r="C16" s="841">
        <f ca="1">huishoudens!C10</f>
        <v>0.1477866559758515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10083.822040104213</v>
      </c>
      <c r="C21" s="478">
        <f t="shared" ref="C21:C30" ca="1" si="3">C4*$C$16</f>
        <v>0</v>
      </c>
      <c r="D21" s="478">
        <f t="shared" ref="D21:D30" si="4">D4*$D$16</f>
        <v>41076.527430995018</v>
      </c>
      <c r="E21" s="478">
        <f t="shared" ref="E21:E30" si="5">E4*$E$16</f>
        <v>934.07389328686565</v>
      </c>
      <c r="F21" s="478">
        <f t="shared" ref="F21:F30" si="6">F4*$F$16</f>
        <v>0</v>
      </c>
      <c r="G21" s="478">
        <f t="shared" ref="G21:G30" si="7">G4*$G$16</f>
        <v>0</v>
      </c>
      <c r="H21" s="478">
        <f t="shared" ref="H21:H30" si="8">H4*$H$16</f>
        <v>0</v>
      </c>
      <c r="I21" s="478">
        <f t="shared" ref="I21:I30" si="9">I4*$I$16</f>
        <v>0</v>
      </c>
      <c r="J21" s="478">
        <f t="shared" ref="J21:J30" si="10">J4*$J$16</f>
        <v>1705.0624749732642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53799.48583935936</v>
      </c>
    </row>
    <row r="22" spans="1:17">
      <c r="A22" s="477" t="s">
        <v>156</v>
      </c>
      <c r="B22" s="478">
        <f t="shared" ca="1" si="2"/>
        <v>18635.683974804928</v>
      </c>
      <c r="C22" s="478">
        <f t="shared" ca="1" si="3"/>
        <v>4762.3194269246887</v>
      </c>
      <c r="D22" s="478">
        <f t="shared" ca="1" si="4"/>
        <v>16610.707264533918</v>
      </c>
      <c r="E22" s="478">
        <f t="shared" si="5"/>
        <v>239.1480271665113</v>
      </c>
      <c r="F22" s="478">
        <f t="shared" ca="1" si="6"/>
        <v>6706.6574969238745</v>
      </c>
      <c r="G22" s="478">
        <f t="shared" si="7"/>
        <v>0</v>
      </c>
      <c r="H22" s="478">
        <f t="shared" si="8"/>
        <v>0</v>
      </c>
      <c r="I22" s="478">
        <f t="shared" si="9"/>
        <v>0</v>
      </c>
      <c r="J22" s="478">
        <f t="shared" si="10"/>
        <v>7.1175382752747512E-2</v>
      </c>
      <c r="K22" s="478">
        <f t="shared" si="11"/>
        <v>0</v>
      </c>
      <c r="L22" s="478">
        <f t="shared" ca="1" si="12"/>
        <v>0</v>
      </c>
      <c r="M22" s="478">
        <f t="shared" si="13"/>
        <v>0</v>
      </c>
      <c r="N22" s="478">
        <f t="shared" ca="1" si="14"/>
        <v>0</v>
      </c>
      <c r="O22" s="478">
        <f t="shared" si="15"/>
        <v>0</v>
      </c>
      <c r="P22" s="479">
        <f t="shared" si="16"/>
        <v>0</v>
      </c>
      <c r="Q22" s="477">
        <f t="shared" ref="Q22:Q30" ca="1" si="17">SUM(B22:P22)</f>
        <v>46954.587365736676</v>
      </c>
    </row>
    <row r="23" spans="1:17">
      <c r="A23" s="477" t="s">
        <v>194</v>
      </c>
      <c r="B23" s="478">
        <f t="shared" ca="1" si="2"/>
        <v>312.23449037878686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312.23449037878686</v>
      </c>
    </row>
    <row r="24" spans="1:17">
      <c r="A24" s="477" t="s">
        <v>112</v>
      </c>
      <c r="B24" s="478">
        <f t="shared" ca="1" si="2"/>
        <v>1135.6016067836497</v>
      </c>
      <c r="C24" s="478">
        <f t="shared" ca="1" si="3"/>
        <v>15939.772572638856</v>
      </c>
      <c r="D24" s="478">
        <f t="shared" si="4"/>
        <v>0</v>
      </c>
      <c r="E24" s="478">
        <f t="shared" si="5"/>
        <v>71.629348896406199</v>
      </c>
      <c r="F24" s="478">
        <f t="shared" si="6"/>
        <v>11941.127136192203</v>
      </c>
      <c r="G24" s="478">
        <f t="shared" si="7"/>
        <v>0</v>
      </c>
      <c r="H24" s="478">
        <f t="shared" si="8"/>
        <v>0</v>
      </c>
      <c r="I24" s="478">
        <f t="shared" si="9"/>
        <v>0</v>
      </c>
      <c r="J24" s="478">
        <f t="shared" si="10"/>
        <v>550.58922198793755</v>
      </c>
      <c r="K24" s="478">
        <f t="shared" si="11"/>
        <v>0</v>
      </c>
      <c r="L24" s="478">
        <f t="shared" si="12"/>
        <v>0</v>
      </c>
      <c r="M24" s="478">
        <f t="shared" si="13"/>
        <v>0</v>
      </c>
      <c r="N24" s="478">
        <f t="shared" si="14"/>
        <v>0</v>
      </c>
      <c r="O24" s="478">
        <f t="shared" si="15"/>
        <v>0</v>
      </c>
      <c r="P24" s="479">
        <f t="shared" si="16"/>
        <v>0</v>
      </c>
      <c r="Q24" s="477">
        <f t="shared" ca="1" si="17"/>
        <v>29638.719886499057</v>
      </c>
    </row>
    <row r="25" spans="1:17">
      <c r="A25" s="477" t="s">
        <v>635</v>
      </c>
      <c r="B25" s="478">
        <f t="shared" ca="1" si="2"/>
        <v>9393.15875064387</v>
      </c>
      <c r="C25" s="478">
        <f t="shared" ca="1" si="3"/>
        <v>2874.8727063188139</v>
      </c>
      <c r="D25" s="478">
        <f t="shared" si="4"/>
        <v>5639.9652020122703</v>
      </c>
      <c r="E25" s="478">
        <f t="shared" si="5"/>
        <v>1042.8016616665686</v>
      </c>
      <c r="F25" s="478">
        <f t="shared" si="6"/>
        <v>4012.508313527821</v>
      </c>
      <c r="G25" s="478">
        <f t="shared" si="7"/>
        <v>0</v>
      </c>
      <c r="H25" s="478">
        <f t="shared" si="8"/>
        <v>0</v>
      </c>
      <c r="I25" s="478">
        <f t="shared" si="9"/>
        <v>0</v>
      </c>
      <c r="J25" s="478">
        <f t="shared" si="10"/>
        <v>59.153146116116723</v>
      </c>
      <c r="K25" s="478">
        <f t="shared" si="11"/>
        <v>0</v>
      </c>
      <c r="L25" s="478">
        <f t="shared" si="12"/>
        <v>0</v>
      </c>
      <c r="M25" s="478">
        <f t="shared" si="13"/>
        <v>0</v>
      </c>
      <c r="N25" s="478">
        <f t="shared" si="14"/>
        <v>0</v>
      </c>
      <c r="O25" s="478">
        <f t="shared" si="15"/>
        <v>0</v>
      </c>
      <c r="P25" s="479">
        <f t="shared" si="16"/>
        <v>0</v>
      </c>
      <c r="Q25" s="477">
        <f t="shared" ca="1" si="17"/>
        <v>23022.459780285462</v>
      </c>
    </row>
    <row r="26" spans="1:17" s="483" customFormat="1">
      <c r="A26" s="481" t="s">
        <v>561</v>
      </c>
      <c r="B26" s="835">
        <f t="shared" ca="1" si="2"/>
        <v>32.653425112496329</v>
      </c>
      <c r="C26" s="482">
        <f t="shared" ca="1" si="3"/>
        <v>0</v>
      </c>
      <c r="D26" s="482">
        <f t="shared" si="4"/>
        <v>224.09976510120148</v>
      </c>
      <c r="E26" s="482">
        <f t="shared" si="5"/>
        <v>365.36288539825591</v>
      </c>
      <c r="F26" s="482">
        <f t="shared" si="6"/>
        <v>0</v>
      </c>
      <c r="G26" s="482">
        <f t="shared" si="7"/>
        <v>233577.11595957188</v>
      </c>
      <c r="H26" s="482">
        <f t="shared" si="8"/>
        <v>31613.882262588697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265813.11429777252</v>
      </c>
    </row>
    <row r="27" spans="1:17">
      <c r="A27" s="477" t="s">
        <v>551</v>
      </c>
      <c r="B27" s="478">
        <f t="shared" ca="1" si="2"/>
        <v>0</v>
      </c>
      <c r="C27" s="478">
        <f t="shared" ca="1" si="3"/>
        <v>0</v>
      </c>
      <c r="D27" s="478">
        <f t="shared" si="4"/>
        <v>0</v>
      </c>
      <c r="E27" s="478">
        <f t="shared" si="5"/>
        <v>0</v>
      </c>
      <c r="F27" s="478">
        <f t="shared" si="6"/>
        <v>0</v>
      </c>
      <c r="G27" s="478">
        <f t="shared" si="7"/>
        <v>996.86159116479052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996.86159116479052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39593.154287827943</v>
      </c>
      <c r="C31" s="488">
        <f t="shared" ca="1" si="18"/>
        <v>23576.964705882358</v>
      </c>
      <c r="D31" s="488">
        <f t="shared" ca="1" si="18"/>
        <v>63551.299662642414</v>
      </c>
      <c r="E31" s="488">
        <f t="shared" si="18"/>
        <v>2653.0158164146073</v>
      </c>
      <c r="F31" s="488">
        <f t="shared" ca="1" si="18"/>
        <v>22660.292946643898</v>
      </c>
      <c r="G31" s="488">
        <f t="shared" si="18"/>
        <v>234573.97755073666</v>
      </c>
      <c r="H31" s="488">
        <f t="shared" si="18"/>
        <v>31613.882262588697</v>
      </c>
      <c r="I31" s="488">
        <f t="shared" si="18"/>
        <v>0</v>
      </c>
      <c r="J31" s="488">
        <f t="shared" si="18"/>
        <v>2314.876018460071</v>
      </c>
      <c r="K31" s="488">
        <f t="shared" si="18"/>
        <v>0</v>
      </c>
      <c r="L31" s="488">
        <f t="shared" ca="1" si="18"/>
        <v>0</v>
      </c>
      <c r="M31" s="488">
        <f t="shared" si="18"/>
        <v>0</v>
      </c>
      <c r="N31" s="488">
        <f t="shared" ca="1" si="18"/>
        <v>0</v>
      </c>
      <c r="O31" s="488">
        <f t="shared" si="18"/>
        <v>0</v>
      </c>
      <c r="P31" s="489">
        <f t="shared" si="18"/>
        <v>0</v>
      </c>
      <c r="Q31" s="489">
        <f t="shared" ca="1" si="18"/>
        <v>420537.4632511966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0.10578048886693114</v>
      </c>
      <c r="C17" s="528">
        <f ca="1">'EF ele_warmte'!B22</f>
        <v>0.1477866559758515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0.10578048886693114</v>
      </c>
      <c r="C17" s="528">
        <f ca="1">'EF ele_warmte'!B22</f>
        <v>0.1477866559758515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0.10578048886693114</v>
      </c>
      <c r="C29" s="529">
        <f ca="1">'EF ele_warmte'!B22</f>
        <v>0.1477866559758515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2018-09-06T12:48:56Z</dcterms:modified>
</cp:coreProperties>
</file>