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15" i="5"/>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E79" i="14" s="1"/>
  <c r="C17" i="18"/>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8" i="13"/>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C13" i="15"/>
  <c r="C16" s="1"/>
  <c r="L6" i="17"/>
  <c r="L5" s="1"/>
  <c r="L16" i="16"/>
  <c r="L18" s="1"/>
  <c r="M13" i="14" s="1"/>
  <c r="I14" i="15"/>
  <c r="I16" s="1"/>
  <c r="J10" i="14" s="1"/>
  <c r="B13" i="16"/>
  <c r="C35"/>
  <c r="D8" i="17"/>
  <c r="E9" i="14"/>
  <c r="D14" i="15"/>
  <c r="P18" i="16"/>
  <c r="P22" s="1"/>
  <c r="Q39" i="14" s="1"/>
  <c r="N6" i="17"/>
  <c r="N5" s="1"/>
  <c r="J8"/>
  <c r="J12" s="1"/>
  <c r="K48" i="14" s="1"/>
  <c r="N16" i="16"/>
  <c r="F8" i="17"/>
  <c r="G22" i="14" s="1"/>
  <c r="N13" i="15"/>
  <c r="L13"/>
  <c r="L16" s="1"/>
  <c r="F13"/>
  <c r="D13"/>
  <c r="B67" i="22"/>
  <c r="M11"/>
  <c r="G10"/>
  <c r="M9"/>
  <c r="G8"/>
  <c r="M7"/>
  <c r="G6"/>
  <c r="G11"/>
  <c r="M8"/>
  <c r="G7"/>
  <c r="M10"/>
  <c r="G9"/>
  <c r="M6"/>
  <c r="L68" i="14"/>
  <c r="B12" i="48"/>
  <c r="Q12" s="1"/>
  <c r="O9" i="14"/>
  <c r="B7" i="15"/>
  <c r="O5" i="16"/>
  <c r="B38" i="13"/>
  <c r="B50" s="1"/>
  <c r="B11" i="15"/>
  <c r="B11" i="16"/>
  <c r="J9" i="14"/>
  <c r="B97" i="18"/>
  <c r="B101" s="1"/>
  <c r="C16" s="1"/>
  <c r="D78" i="14" s="1"/>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8" s="1"/>
  <c r="F9" i="14"/>
  <c r="D9"/>
  <c r="E19" i="19"/>
  <c r="F35" i="14" s="1"/>
  <c r="C11" i="48"/>
  <c r="D19" i="19"/>
  <c r="E35" i="14" s="1"/>
  <c r="C9"/>
  <c r="B11" i="48"/>
  <c r="E5" i="22"/>
  <c r="E14" s="1"/>
  <c r="D5"/>
  <c r="D14" s="1"/>
  <c r="B5"/>
  <c r="B14" s="1"/>
  <c r="P11" i="48"/>
  <c r="P28"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7" i="48"/>
  <c r="J24" s="1"/>
  <c r="P24"/>
  <c r="E5" i="17"/>
  <c r="C8"/>
  <c r="G24" i="48"/>
  <c r="I24"/>
  <c r="G81" i="14"/>
  <c r="D79"/>
  <c r="H79"/>
  <c r="H81" s="1"/>
  <c r="L79"/>
  <c r="L81" s="1"/>
  <c r="F79"/>
  <c r="J79"/>
  <c r="E68"/>
  <c r="E69" s="1"/>
  <c r="I68"/>
  <c r="M68"/>
  <c r="M69" s="1"/>
  <c r="D19" i="18"/>
  <c r="L19"/>
  <c r="B68" i="14"/>
  <c r="G68"/>
  <c r="G69" s="1"/>
  <c r="E81"/>
  <c r="M81"/>
  <c r="F19" i="18"/>
  <c r="D11" i="14"/>
  <c r="C4" i="48"/>
  <c r="D10" i="14"/>
  <c r="M17" i="18"/>
  <c r="M18"/>
  <c r="I5" i="48" l="1"/>
  <c r="I22" s="1"/>
  <c r="L22" i="16"/>
  <c r="M39" i="14" s="1"/>
  <c r="I20" i="15"/>
  <c r="J36" i="14" s="1"/>
  <c r="B35" i="13"/>
  <c r="J15" i="14"/>
  <c r="J23" s="1"/>
  <c r="P8" i="48"/>
  <c r="P25" s="1"/>
  <c r="D18" i="16"/>
  <c r="D22" s="1"/>
  <c r="E39" i="14" s="1"/>
  <c r="G31" i="20"/>
  <c r="H43" i="14" s="1"/>
  <c r="G12" i="22"/>
  <c r="D16" i="15"/>
  <c r="D20" s="1"/>
  <c r="K22" i="14"/>
  <c r="E8" i="17"/>
  <c r="F22" i="14" s="1"/>
  <c r="O18" i="16"/>
  <c r="O22" s="1"/>
  <c r="P39" i="14" s="1"/>
  <c r="B36" i="13"/>
  <c r="H13" i="48"/>
  <c r="H30" s="1"/>
  <c r="H12" i="22"/>
  <c r="B34" i="13"/>
  <c r="B46" s="1"/>
  <c r="E5" s="1"/>
  <c r="E8" s="1"/>
  <c r="E12" s="1"/>
  <c r="F37" i="14" s="1"/>
  <c r="N8" i="17"/>
  <c r="N12" s="1"/>
  <c r="O48" i="14" s="1"/>
  <c r="L8" i="17"/>
  <c r="L12" s="1"/>
  <c r="M48" i="14" s="1"/>
  <c r="M50" i="22"/>
  <c r="M54" s="1"/>
  <c r="M10" i="48" s="1"/>
  <c r="M27" s="1"/>
  <c r="G51" i="22"/>
  <c r="G50" s="1"/>
  <c r="G54" s="1"/>
  <c r="H18" i="14" s="1"/>
  <c r="E22"/>
  <c r="B9" i="48"/>
  <c r="E100" i="18"/>
  <c r="E7" s="1"/>
  <c r="F67" i="14" s="1"/>
  <c r="F69" s="1"/>
  <c r="F7" i="48"/>
  <c r="F24" s="1"/>
  <c r="D100" i="18"/>
  <c r="M8"/>
  <c r="M28" i="48"/>
  <c r="F12" i="17"/>
  <c r="G48" i="14" s="1"/>
  <c r="C101" i="18"/>
  <c r="C100"/>
  <c r="B9"/>
  <c r="E101"/>
  <c r="E16" s="1"/>
  <c r="F78" i="14" s="1"/>
  <c r="F81" s="1"/>
  <c r="G101" i="18"/>
  <c r="D7" i="48"/>
  <c r="D24" s="1"/>
  <c r="H100" i="18"/>
  <c r="L41" i="14"/>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G14" s="1"/>
  <c r="H5"/>
  <c r="H14" s="1"/>
  <c r="E5" i="15"/>
  <c r="O20"/>
  <c r="P36" i="14" s="1"/>
  <c r="P10"/>
  <c r="P20" i="15"/>
  <c r="Q36" i="14" s="1"/>
  <c r="Q41" s="1"/>
  <c r="Q53" s="1"/>
  <c r="Q10"/>
  <c r="Q15" s="1"/>
  <c r="Q23" s="1"/>
  <c r="J5" i="15"/>
  <c r="F4" i="48"/>
  <c r="F21" s="1"/>
  <c r="B69" i="14"/>
  <c r="B4" i="6" s="1"/>
  <c r="L53" i="14"/>
  <c r="F5" i="15"/>
  <c r="F16" s="1"/>
  <c r="B5"/>
  <c r="B16" s="1"/>
  <c r="E13" i="14"/>
  <c r="B5" i="16"/>
  <c r="B18" s="1"/>
  <c r="C13" i="14" s="1"/>
  <c r="N5" i="15"/>
  <c r="N16" s="1"/>
  <c r="F12" i="13"/>
  <c r="G37" i="14" s="1"/>
  <c r="P5" i="48"/>
  <c r="P22" s="1"/>
  <c r="F13" i="16"/>
  <c r="E13"/>
  <c r="N13"/>
  <c r="J13"/>
  <c r="B47" i="13"/>
  <c r="N12" i="16"/>
  <c r="J12"/>
  <c r="F12"/>
  <c r="E12"/>
  <c r="Q11" i="48"/>
  <c r="O5"/>
  <c r="R9" i="14"/>
  <c r="O28" i="48"/>
  <c r="H22"/>
  <c r="K31"/>
  <c r="L26"/>
  <c r="B48" i="13"/>
  <c r="C48" s="1"/>
  <c r="N5" s="1"/>
  <c r="N8" s="1"/>
  <c r="N4" i="48" s="1"/>
  <c r="N21" s="1"/>
  <c r="M29"/>
  <c r="M25"/>
  <c r="M24"/>
  <c r="I31"/>
  <c r="C50" i="13"/>
  <c r="J5" s="1"/>
  <c r="J8" s="1"/>
  <c r="C5" i="48"/>
  <c r="N7" l="1"/>
  <c r="N24" s="1"/>
  <c r="I14"/>
  <c r="P31"/>
  <c r="P13" i="14"/>
  <c r="P15" s="1"/>
  <c r="P23" s="1"/>
  <c r="P55" s="1"/>
  <c r="E7" i="48"/>
  <c r="E24" s="1"/>
  <c r="E12" i="17"/>
  <c r="F48" i="14" s="1"/>
  <c r="O8" i="48"/>
  <c r="O25" s="1"/>
  <c r="J16" i="15"/>
  <c r="K10" i="14" s="1"/>
  <c r="E16" i="15"/>
  <c r="F10" i="14" s="1"/>
  <c r="D8" i="48"/>
  <c r="D25" s="1"/>
  <c r="P41" i="14"/>
  <c r="P53" s="1"/>
  <c r="O22"/>
  <c r="L7" i="48"/>
  <c r="L24" s="1"/>
  <c r="M22" i="14"/>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7" i="14"/>
  <c r="Q13" i="48"/>
  <c r="I19" i="14"/>
  <c r="I20" s="1"/>
  <c r="I23" s="1"/>
  <c r="M18" i="22"/>
  <c r="N45" i="14" s="1"/>
  <c r="M9" i="48"/>
  <c r="N19" i="14"/>
  <c r="P14" i="48"/>
  <c r="B8"/>
  <c r="J5"/>
  <c r="J22" s="1"/>
  <c r="J20" i="15"/>
  <c r="K36" i="14" s="1"/>
  <c r="J55"/>
  <c r="L55"/>
  <c r="E36"/>
  <c r="E41" s="1"/>
  <c r="N20" i="15"/>
  <c r="O36" i="14" s="1"/>
  <c r="O10"/>
  <c r="L5" i="48"/>
  <c r="L22" s="1"/>
  <c r="M10" i="14"/>
  <c r="M15" s="1"/>
  <c r="F20" i="15"/>
  <c r="G36" i="14" s="1"/>
  <c r="G10"/>
  <c r="C10"/>
  <c r="B5" i="48"/>
  <c r="D23" i="14"/>
  <c r="B20" i="6" s="1"/>
  <c r="B22" s="1"/>
  <c r="Q55" i="14"/>
  <c r="N5" i="16"/>
  <c r="F5" i="48"/>
  <c r="F22" s="1"/>
  <c r="E5" i="16"/>
  <c r="J5"/>
  <c r="C35" i="13"/>
  <c r="F5" i="16"/>
  <c r="C36" i="13"/>
  <c r="O22" i="48"/>
  <c r="O31" s="1"/>
  <c r="N12" i="13"/>
  <c r="O37" i="14" s="1"/>
  <c r="O11"/>
  <c r="C38" i="13"/>
  <c r="C39"/>
  <c r="C32"/>
  <c r="C34"/>
  <c r="E4" i="48"/>
  <c r="E21" s="1"/>
  <c r="F11" i="14"/>
  <c r="J4" i="48"/>
  <c r="J12" i="13"/>
  <c r="K37" i="14" s="1"/>
  <c r="K11"/>
  <c r="N5" i="48"/>
  <c r="L20" i="15"/>
  <c r="D31" i="48" l="1"/>
  <c r="E5"/>
  <c r="E22" s="1"/>
  <c r="N18" i="16"/>
  <c r="N8" i="48" s="1"/>
  <c r="L31"/>
  <c r="N20" i="14"/>
  <c r="N23" s="1"/>
  <c r="E20" i="15"/>
  <c r="F36" i="14" s="1"/>
  <c r="F18" i="16"/>
  <c r="G13" i="14" s="1"/>
  <c r="G15" s="1"/>
  <c r="G23" s="1"/>
  <c r="J18" i="16"/>
  <c r="K13" i="14" s="1"/>
  <c r="K15" s="1"/>
  <c r="K23" s="1"/>
  <c r="J9" i="18"/>
  <c r="M7"/>
  <c r="M9" s="1"/>
  <c r="M16"/>
  <c r="M19" s="1"/>
  <c r="E18" i="16"/>
  <c r="E22" s="1"/>
  <c r="F39" i="14" s="1"/>
  <c r="F41" s="1"/>
  <c r="F53" s="1"/>
  <c r="R22"/>
  <c r="Q7" i="48"/>
  <c r="N46" i="14"/>
  <c r="N53" s="1"/>
  <c r="G18" i="22"/>
  <c r="H45" i="14" s="1"/>
  <c r="H46" s="1"/>
  <c r="H53" s="1"/>
  <c r="I19" i="18"/>
  <c r="J19"/>
  <c r="K78" i="14"/>
  <c r="K81" s="1"/>
  <c r="I81"/>
  <c r="O78"/>
  <c r="O81" s="1"/>
  <c r="B17" i="6" s="1"/>
  <c r="E23" i="14"/>
  <c r="D14" i="48"/>
  <c r="B14"/>
  <c r="J69" i="14"/>
  <c r="C67"/>
  <c r="C69" s="1"/>
  <c r="H19"/>
  <c r="H20" s="1"/>
  <c r="H23" s="1"/>
  <c r="J81"/>
  <c r="H18" i="22"/>
  <c r="I45" i="14" s="1"/>
  <c r="I46" s="1"/>
  <c r="I53" s="1"/>
  <c r="I55" s="1"/>
  <c r="G27" i="48"/>
  <c r="Q10"/>
  <c r="H9"/>
  <c r="Q9" s="1"/>
  <c r="M14"/>
  <c r="M26"/>
  <c r="M31" s="1"/>
  <c r="G26"/>
  <c r="G14"/>
  <c r="C15" i="14"/>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O13"/>
  <c r="O15" s="1"/>
  <c r="F22" i="16"/>
  <c r="G39" i="14" s="1"/>
  <c r="G41" s="1"/>
  <c r="F8" i="48"/>
  <c r="Q4"/>
  <c r="N22"/>
  <c r="R11" i="14"/>
  <c r="J21" i="48"/>
  <c r="R10" i="14"/>
  <c r="Q5" i="48" l="1"/>
  <c r="N22" i="16"/>
  <c r="O39" i="14" s="1"/>
  <c r="O41" s="1"/>
  <c r="O53" s="1"/>
  <c r="E8" i="48"/>
  <c r="E25" s="1"/>
  <c r="E31" s="1"/>
  <c r="F13" i="14"/>
  <c r="F15" s="1"/>
  <c r="F23" s="1"/>
  <c r="F55" s="1"/>
  <c r="J22" i="16"/>
  <c r="K39" i="14" s="1"/>
  <c r="K41" s="1"/>
  <c r="K53" s="1"/>
  <c r="K55" s="1"/>
  <c r="J8" i="48"/>
  <c r="J25" s="1"/>
  <c r="J31" s="1"/>
  <c r="N25"/>
  <c r="N31" s="1"/>
  <c r="N14"/>
  <c r="N55" i="14"/>
  <c r="H55"/>
  <c r="E55"/>
  <c r="C78"/>
  <c r="C81" s="1"/>
  <c r="R19"/>
  <c r="R20" s="1"/>
  <c r="H14" i="48"/>
  <c r="G31"/>
  <c r="H26"/>
  <c r="H31" s="1"/>
  <c r="G53" i="14"/>
  <c r="G55" s="1"/>
  <c r="O69" s="1"/>
  <c r="B9" i="6" s="1"/>
  <c r="B12" s="1"/>
  <c r="M53" i="14"/>
  <c r="M55" s="1"/>
  <c r="C12" i="13"/>
  <c r="D37" i="14" s="1"/>
  <c r="D41" s="1"/>
  <c r="C23" i="48"/>
  <c r="C24"/>
  <c r="C27"/>
  <c r="C28"/>
  <c r="C22"/>
  <c r="C25"/>
  <c r="C29"/>
  <c r="C21"/>
  <c r="C26"/>
  <c r="F25"/>
  <c r="F31" s="1"/>
  <c r="F14"/>
  <c r="J14" l="1"/>
  <c r="R13" i="14"/>
  <c r="R15" s="1"/>
  <c r="R23" s="1"/>
  <c r="E14" i="48"/>
  <c r="Q8"/>
  <c r="Q14" s="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<sst xmlns="http://schemas.openxmlformats.org/spreadsheetml/2006/main" count="1923" uniqueCount="816">
  <si>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</si>
  <si>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</si>
  <si>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</si>
  <si>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</si>
  <si>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</si>
  <si>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</si>
  <si>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</si>
  <si>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</si>
  <si>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</si>
  <si>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</si>
  <si>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</si>
  <si>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</si>
  <si>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</si>
  <si>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</si>
  <si>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</si>
  <si>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</si>
  <si>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</si>
  <si>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</si>
  <si>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</si>
  <si>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</si>
  <si>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</si>
  <si>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</si>
  <si>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</si>
  <si>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</si>
  <si>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</si>
  <si>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</si>
  <si>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</si>
  <si>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</si>
  <si>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</si>
  <si>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</si>
  <si>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</si>
  <si>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</si>
  <si>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</si>
  <si>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</si>
  <si>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</si>
  <si>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</si>
  <si>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</si>
  <si>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</si>
  <si>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</si>
  <si>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</si>
  <si>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</si>
  <si>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</si>
  <si>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</si>
  <si>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</si>
  <si>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</si>
  <si>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</si>
  <si>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</si>
  <si>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</si>
  <si>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</si>
  <si>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</si>
  <si>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</si>
  <si>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</si>
  <si>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</si>
  <si>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</si>
  <si>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</si>
  <si>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</si>
  <si>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</si>
  <si>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</si>
  <si>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</si>
  <si>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</si>
  <si>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</si>
  <si>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</si>
  <si>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</si>
  <si>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</si>
  <si>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</si>
  <si>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</si>
  <si>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</si>
  <si>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</si>
  <si>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</si>
  <si>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</si>
  <si>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</si>
  <si>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</si>
  <si>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</si>
  <si>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</si>
  <si>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</si>
  <si>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</si>
  <si>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</si>
  <si>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</si>
  <si>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</si>
  <si>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</si>
  <si>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</si>
  <si>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</si>
  <si>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</si>
  <si>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</si>
  <si>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</si>
  <si>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</si>
  <si>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</si>
  <si>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</si>
  <si>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</si>
  <si>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</si>
  <si>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</si>
  <si>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</si>
  <si>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</si>
  <si>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</si>
  <si>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</si>
  <si>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</si>
  <si>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</si>
  <si>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</si>
  <si>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</si>
  <si>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</si>
  <si>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</si>
  <si>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</si>
  <si>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</si>
  <si>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</si>
  <si>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</si>
  <si>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</si>
  <si>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</si>
  <si>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</si>
  <si>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</si>
  <si>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</si>
  <si>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</si>
  <si>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</si>
  <si>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</si>
  <si>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</si>
  <si>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</si>
  <si>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</si>
  <si>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</si>
  <si>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</si>
  <si>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</si>
  <si>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</si>
  <si>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</si>
  <si>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</si>
  <si>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</si>
  <si>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</si>
  <si>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</si>
  <si>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</si>
  <si>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</si>
  <si>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</si>
  <si>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</si>
  <si>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</si>
  <si>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</si>
  <si>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</si>
  <si>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</si>
  <si>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</si>
  <si>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</si>
  <si>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</si>
  <si>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</si>
  <si>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</si>
  <si>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</si>
  <si>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</si>
  <si>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</si>
  <si>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</si>
  <si>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</si>
  <si>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</si>
  <si>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</si>
  <si>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</si>
  <si>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</si>
  <si>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</si>
  <si>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</si>
  <si>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</si>
  <si>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</si>
  <si>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</si>
  <si>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</si>
  <si>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</si>
  <si>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</si>
  <si>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</si>
  <si>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</si>
  <si>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</si>
  <si>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</si>
  <si>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</si>
  <si>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</si>
  <si>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</si>
  <si>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</si>
  <si>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</si>
  <si>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</si>
  <si>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</si>
  <si>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</si>
  <si>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</si>
  <si>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</si>
  <si>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</si>
  <si>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</si>
  <si>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</si>
  <si>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</si>
  <si>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</si>
  <si>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</si>
  <si>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</si>
  <si>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</si>
  <si>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</si>
  <si>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</si>
  <si>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</si>
  <si>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</si>
  <si>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</si>
  <si>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</si>
  <si>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</si>
  <si>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</si>
  <si>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</si>
  <si>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</si>
  <si>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</si>
  <si>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</si>
  <si>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</si>
  <si>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</si>
  <si>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</si>
  <si>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</si>
  <si>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</si>
  <si>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</si>
  <si>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</si>
  <si>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</si>
  <si>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</si>
  <si>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</si>
  <si>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</si>
  <si>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</si>
  <si>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</si>
  <si>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</si>
  <si>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</si>
  <si>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</si>
  <si>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</si>
  <si>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</si>
  <si>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</si>
  <si>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</si>
  <si>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</si>
  <si>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</si>
  <si>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</si>
  <si>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</si>
  <si>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</si>
  <si>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</si>
  <si>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</si>
  <si>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</si>
  <si>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</si>
  <si>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</si>
  <si>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</si>
  <si>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</si>
  <si>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</si>
  <si>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</si>
  <si>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</si>
  <si>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</si>
  <si>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</si>
  <si>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</si>
  <si>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</si>
  <si>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</si>
  <si>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</si>
  <si>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</si>
  <si>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</si>
  <si>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</si>
  <si>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</si>
  <si>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</si>
  <si>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</si>
  <si>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</si>
  <si>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</si>
  <si>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</si>
  <si>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</si>
  <si>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</si>
  <si>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</si>
  <si>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</si>
  <si>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</si>
  <si>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</si>
  <si>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</si>
  <si>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</si>
  <si>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</si>
  <si>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</si>
  <si>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</si>
  <si>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</si>
  <si>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</si>
  <si>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</si>
  <si>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</si>
  <si>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</si>
  <si>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</si>
  <si>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</si>
  <si>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</si>
  <si>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</si>
  <si>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</si>
  <si>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</si>
  <si>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</si>
  <si>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</si>
  <si>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</si>
  <si>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</si>
  <si>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</si>
  <si>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</si>
  <si>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</si>
  <si>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</si>
  <si>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</si>
  <si>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</si>
  <si>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</si>
  <si>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</si>
  <si>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</si>
  <si>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</si>
  <si>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</si>
  <si>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</si>
  <si>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</si>
  <si>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</si>
  <si>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</si>
  <si>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</si>
  <si>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</si>
  <si>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</si>
  <si>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</si>
  <si>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</si>
  <si>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</si>
  <si>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</si>
  <si>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</si>
  <si>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</si>
  <si>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</si>
  <si>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</si>
  <si>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</si>
  <si>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</si>
  <si>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</si>
  <si>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</si>
  <si>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</si>
  <si>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</si>
  <si>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</si>
  <si>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</si>
  <si>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</si>
  <si>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</si>
  <si>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</si>
  <si>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</si>
  <si>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</si>
  <si>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</si>
  <si>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</si>
  <si>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</si>
  <si>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</si>
  <si>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</si>
  <si>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</si>
  <si>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</si>
  <si>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</si>
  <si>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</si>
  <si>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</si>
  <si>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</si>
  <si>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</si>
  <si>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</si>
  <si>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</si>
  <si>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</si>
  <si>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</si>
  <si>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</si>
  <si>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</si>
  <si>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</si>
  <si>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</si>
  <si>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</si>
  <si>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</si>
  <si>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</si>
  <si>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</si>
  <si>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</si>
  <si>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</si>
  <si>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</si>
  <si>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</si>
  <si>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</si>
  <si>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</si>
  <si>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</si>
  <si>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</si>
  <si>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</si>
  <si>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</si>
  <si>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</si>
  <si>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</si>
  <si>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</si>
  <si>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</si>
  <si>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</si>
  <si>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</si>
  <si>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</si>
  <si>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</si>
  <si>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</si>
  <si>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</si>
  <si>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</si>
  <si>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</si>
  <si>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</si>
  <si>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</si>
  <si>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</si>
  <si>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</si>
  <si>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</si>
  <si>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</si>
  <si>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</si>
  <si>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</si>
  <si>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</si>
  <si>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</si>
  <si>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</si>
  <si>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</si>
  <si>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</si>
  <si>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</si>
  <si>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</si>
  <si>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</si>
  <si>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</si>
  <si>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</si>
  <si>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</si>
  <si>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</si>
  <si>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</si>
  <si>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</si>
  <si>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</si>
  <si>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</si>
  <si>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</si>
  <si>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</si>
  <si>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</si>
  <si>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</si>
  <si>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</si>
  <si>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</si>
  <si>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</si>
  <si>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</si>
  <si>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</si>
  <si>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</si>
  <si>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</si>
  <si>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</si>
  <si>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</si>
  <si>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</si>
  <si>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</si>
  <si>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</si>
  <si>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</si>
  <si>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</si>
  <si>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</si>
  <si>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</si>
  <si>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</si>
  <si>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</si>
  <si>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</si>
  <si>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</si>
  <si>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</si>
  <si>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</si>
  <si>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</si>
  <si>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</si>
  <si>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</si>
  <si>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</si>
  <si>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</si>
  <si>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</si>
  <si>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</si>
  <si>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</si>
  <si>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</si>
  <si>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</si>
  <si>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</si>
  <si>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</si>
  <si>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</si>
  <si>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</si>
  <si>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</si>
  <si>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</si>
  <si>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</si>
  <si>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</si>
  <si>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</si>
  <si>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</si>
  <si>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</si>
  <si>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</si>
  <si>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</si>
  <si>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</si>
  <si>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</si>
  <si>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</si>
  <si>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</si>
  <si>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</si>
  <si>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</si>
  <si>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</si>
  <si>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</si>
  <si>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</si>
  <si>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</si>
  <si>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</si>
  <si>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</si>
  <si>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</si>
  <si>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</si>
  <si>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</si>
  <si>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</si>
  <si>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</si>
  <si>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</si>
  <si>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</si>
  <si>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</si>
  <si>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</si>
  <si>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</si>
  <si>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</si>
  <si>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</si>
  <si>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</si>
  <si>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</si>
  <si>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</si>
  <si>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</si>
  <si>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</si>
  <si>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</si>
  <si>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</si>
  <si>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</si>
  <si>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</si>
  <si>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</si>
  <si>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</si>
  <si>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</si>
  <si>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</si>
  <si>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</si>
  <si>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</si>
  <si>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</si>
  <si>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</si>
  <si>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</si>
  <si>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</si>
  <si>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</si>
  <si>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</si>
  <si>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</si>
  <si>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</si>
  <si>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</si>
  <si>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</si>
  <si>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</si>
  <si>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</si>
  <si>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</si>
  <si>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</si>
  <si>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</si>
  <si>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</si>
  <si>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</si>
  <si>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</si>
  <si>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</si>
  <si>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</si>
  <si>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</si>
  <si>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</si>
  <si>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</si>
  <si>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</si>
  <si>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</si>
  <si>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</si>
  <si>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</si>
  <si>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</si>
  <si>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</si>
  <si>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</si>
  <si>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</si>
  <si>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</si>
  <si>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</si>
  <si>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</si>
  <si>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</si>
  <si>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</si>
  <si>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</si>
  <si>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</si>
  <si>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</si>
  <si>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</si>
  <si>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</si>
  <si>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</si>
  <si>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</si>
  <si>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</si>
  <si>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</si>
  <si>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</si>
  <si>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</si>
  <si>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</si>
  <si>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</si>
  <si>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</si>
  <si>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</si>
  <si>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</si>
  <si>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</si>
  <si>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</si>
  <si>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</si>
  <si>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</si>
  <si>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</si>
  <si>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</si>
  <si>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</si>
  <si>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</si>
  <si>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</si>
  <si>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</si>
  <si>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</si>
  <si>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</si>
  <si>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</si>
  <si>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</si>
  <si>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</si>
  <si>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</si>
  <si>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</si>
  <si>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</si>
  <si>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</si>
  <si>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</si>
  <si>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</si>
  <si>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</si>
  <si>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</si>
  <si>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</si>
  <si>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</si>
  <si>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</si>
  <si>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</si>
  <si>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</si>
  <si>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</si>
  <si>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</si>
  <si>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</si>
  <si>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</si>
  <si>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</si>
  <si>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</si>
  <si>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</si>
  <si>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</si>
  <si>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</si>
  <si>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</si>
  <si>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</si>
  <si>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</si>
  <si>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</si>
  <si>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</si>
  <si>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</si>
  <si>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</si>
  <si>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</si>
  <si>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</si>
  <si>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</si>
  <si>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</si>
  <si>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</si>
  <si>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</si>
  <si>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</si>
  <si>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</si>
  <si>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</si>
  <si>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</si>
  <si>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</si>
  <si>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</si>
  <si>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</si>
  <si>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</si>
  <si>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</si>
  <si>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</si>
  <si>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</si>
  <si>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</si>
  <si>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</si>
  <si>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</si>
  <si>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</si>
  <si>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</si>
  <si>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</si>
  <si>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</si>
  <si>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</si>
  <si>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</si>
  <si>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</si>
  <si>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</si>
  <si>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</si>
  <si>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</si>
  <si>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</si>
  <si>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</si>
  <si>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</si>
  <si>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</si>
  <si>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</si>
  <si>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</si>
  <si>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</si>
  <si>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</si>
  <si>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</si>
  <si>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</si>
  <si>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</si>
  <si>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</si>
  <si>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</si>
  <si>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</si>
  <si>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</si>
  <si>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</si>
  <si>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</si>
  <si>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</si>
  <si>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</si>
  <si>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</si>
  <si>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</si>
  <si>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</si>
  <si>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</si>
  <si>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</si>
  <si>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</si>
  <si>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</si>
  <si>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</si>
  <si>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</si>
  <si>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</si>
  <si>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</si>
  <si>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</si>
  <si>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</si>
  <si>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</si>
  <si>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</si>
  <si>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</si>
  <si>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</si>
  <si>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</si>
  <si>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</si>
  <si>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</si>
  <si>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</si>
  <si>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</si>
  <si>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</si>
  <si>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</si>
  <si>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</si>
  <si>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</si>
  <si>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</si>
  <si>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</si>
  <si>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</si>
  <si>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</si>
  <si>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</si>
  <si>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</si>
  <si>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</si>
  <si>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</si>
  <si>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</si>
  <si>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</si>
  <si>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</si>
  <si>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</si>
  <si>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</si>
  <si>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</si>
  <si>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</si>
  <si>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</si>
  <si>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</si>
  <si>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</si>
  <si>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</si>
  <si>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</si>
  <si>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</si>
  <si>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</si>
  <si>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</si>
  <si>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</si>
  <si>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</si>
  <si>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</si>
  <si>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</si>
  <si>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</si>
  <si>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</si>
  <si>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</si>
  <si>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</si>
  <si>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</si>
  <si>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</si>
  <si>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</si>
  <si>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</si>
  <si>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</si>
  <si>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</si>
  <si>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</si>
  <si>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</si>
  <si>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</si>
  <si>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</si>
  <si>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</si>
  <si>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</si>
  <si>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</si>
  <si>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</si>
  <si>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</si>
  <si>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</si>
  <si>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</si>
  <si>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</si>
  <si>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</si>
  <si>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</si>
  <si>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</si>
  <si>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</si>
  <si>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</si>
  <si>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</si>
  <si>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</si>
  <si>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</si>
  <si>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</si>
  <si>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</si>
  <si>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</si>
  <si>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</si>
  <si>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</si>
  <si>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</si>
  <si>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</si>
  <si>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</si>
  <si>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</si>
  <si>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</si>
  <si>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</si>
  <si>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</si>
  <si>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</si>
  <si>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</si>
  <si>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</si>
  <si>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</si>
  <si>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</si>
  <si>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</si>
  <si>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</si>
  <si>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</si>
  <si>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</si>
  <si>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</si>
  <si>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</si>
  <si>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</si>
  <si>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</si>
  <si>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</si>
  <si>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</si>
  <si>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</si>
  <si>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</si>
  <si>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</si>
  <si>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</si>
  <si>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</si>
  <si>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</si>
  <si>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</si>
  <si>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</si>
  <si>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</si>
  <si>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</si>
  <si>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</si>
  <si>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</si>
  <si>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</si>
  <si>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</si>
  <si>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</si>
  <si>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</si>
  <si>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</si>
  <si>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</si>
  <si>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</si>
  <si>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</si>
  <si>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</si>
  <si>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</si>
  <si>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</si>
  <si>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</si>
  <si>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</si>
  <si>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</si>
  <si>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</si>
  <si>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</si>
  <si>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</si>
  <si>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</si>
  <si>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</si>
  <si>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</si>
  <si>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</si>
  <si>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</si>
  <si>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</si>
  <si>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</si>
  <si>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</si>
  <si>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</si>
  <si>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</si>
  <si>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</si>
  <si>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</si>
  <si>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</si>
  <si>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</si>
  <si>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</si>
  <si>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</si>
  <si>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</si>
  <si>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</si>
  <si>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</si>
  <si>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</si>
  <si>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</si>
  <si>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</si>
  <si>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</si>
  <si>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</si>
  <si>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</si>
  <si>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</si>
  <si>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</si>
  <si>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</si>
  <si>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</si>
  <si>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</si>
  <si>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</si>
  <si>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</si>
  <si>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</si>
  <si>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</si>
  <si>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</si>
  <si>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</si>
  <si>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</si>
  <si>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</si>
  <si>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</si>
  <si>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</si>
  <si>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</si>
  <si>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</si>
  <si>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</si>
  <si>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</si>
  <si>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</si>
  <si>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</si>
  <si>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</si>
  <si>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</si>
  <si>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</si>
  <si>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</si>
  <si>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</si>
  <si>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</si>
  <si>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</si>
  <si>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</si>
  <si>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</si>
  <si>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45065</t>
  </si>
  <si>
    <t>ZWALM</t>
  </si>
  <si>
    <t>Eandis (januari 2018); Infrax (juni 2018)</t>
  </si>
  <si>
    <t>MOW (september 2017)</t>
  </si>
  <si>
    <t>referentietaak LNE (2017); Jaarverslag De Lijn (2016)</t>
  </si>
  <si>
    <t>VEA (april 2018)</t>
  </si>
  <si>
    <t>VEA (januari 2017)</t>
  </si>
  <si>
    <t>VEA (juni 2018)</t>
  </si>
  <si>
    <t>Aquafin NV</t>
  </si>
  <si>
    <t>Dijkstraat 8 , 2630 Aartselaar</t>
  </si>
  <si>
    <t>BGS-0004 Zwalm</t>
  </si>
  <si>
    <t>biogas - RWZI</t>
  </si>
  <si>
    <t>niet WKK interne verbrandingsmotor (gas)</t>
  </si>
  <si>
    <t>Bruggenhoek 7 1, 9630 Zwalm</t>
  </si>
  <si>
    <t>Gaselwest</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</si>
</sst>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18">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188" xfId="3" applyNumberFormat="1" applyFont="1" applyBorder="1"/>
    <xf numFmtId="0" fontId="0" fillId="0" borderId="188"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78344.397650762578</c:v>
                </c:pt>
                <c:pt idx="1">
                  <c:v>12613.887728483864</c:v>
                </c:pt>
                <c:pt idx="2">
                  <c:v>557.23400000000004</c:v>
                </c:pt>
                <c:pt idx="3">
                  <c:v>5910.1543881921789</c:v>
                </c:pt>
                <c:pt idx="4">
                  <c:v>3154.9889927019549</c:v>
                </c:pt>
                <c:pt idx="5">
                  <c:v>55456.615191106284</c:v>
                </c:pt>
                <c:pt idx="6">
                  <c:v>774.78685880710054</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56462464"/>
        <c:axId val="156464256"/>
      </c:barChart>
      <c:catAx>
        <c:axId val="156462464"/>
        <c:scaling>
          <c:orientation val="minMax"/>
        </c:scaling>
        <c:axPos val="b"/>
        <c:numFmt formatCode="General" sourceLinked="0"/>
        <c:tickLblPos val="nextTo"/>
        <c:crossAx val="156464256"/>
        <c:crosses val="autoZero"/>
        <c:auto val="1"/>
        <c:lblAlgn val="ctr"/>
        <c:lblOffset val="100"/>
      </c:catAx>
      <c:valAx>
        <c:axId val="156464256"/>
        <c:scaling>
          <c:orientation val="minMax"/>
        </c:scaling>
        <c:axPos val="l"/>
        <c:majorGridlines/>
        <c:numFmt formatCode="#,##0" sourceLinked="1"/>
        <c:tickLblPos val="nextTo"/>
        <c:crossAx val="15646246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78344.397650762578</c:v>
                </c:pt>
                <c:pt idx="1">
                  <c:v>12613.887728483864</c:v>
                </c:pt>
                <c:pt idx="2">
                  <c:v>557.23400000000004</c:v>
                </c:pt>
                <c:pt idx="3">
                  <c:v>5910.1543881921789</c:v>
                </c:pt>
                <c:pt idx="4">
                  <c:v>3154.9889927019549</c:v>
                </c:pt>
                <c:pt idx="5">
                  <c:v>55456.615191106284</c:v>
                </c:pt>
                <c:pt idx="6">
                  <c:v>774.78685880710054</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16158.98480502076</c:v>
                </c:pt>
                <c:pt idx="1">
                  <c:v>2501.5621474276309</c:v>
                </c:pt>
                <c:pt idx="2">
                  <c:v>110.1714686002133</c:v>
                </c:pt>
                <c:pt idx="3">
                  <c:v>1483.1379417091998</c:v>
                </c:pt>
                <c:pt idx="4">
                  <c:v>597.74663114211319</c:v>
                </c:pt>
                <c:pt idx="5">
                  <c:v>13871.947478734975</c:v>
                </c:pt>
                <c:pt idx="6">
                  <c:v>195.75033635154048</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56948736"/>
        <c:axId val="156954624"/>
      </c:barChart>
      <c:catAx>
        <c:axId val="156948736"/>
        <c:scaling>
          <c:orientation val="minMax"/>
        </c:scaling>
        <c:axPos val="b"/>
        <c:numFmt formatCode="General" sourceLinked="0"/>
        <c:tickLblPos val="nextTo"/>
        <c:crossAx val="156954624"/>
        <c:crosses val="autoZero"/>
        <c:auto val="1"/>
        <c:lblAlgn val="ctr"/>
        <c:lblOffset val="100"/>
      </c:catAx>
      <c:valAx>
        <c:axId val="156954624"/>
        <c:scaling>
          <c:orientation val="minMax"/>
        </c:scaling>
        <c:axPos val="l"/>
        <c:majorGridlines/>
        <c:numFmt formatCode="#,##0" sourceLinked="1"/>
        <c:tickLblPos val="nextTo"/>
        <c:crossAx val="15694873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16158.98480502076</c:v>
                </c:pt>
                <c:pt idx="1">
                  <c:v>2501.5621474276309</c:v>
                </c:pt>
                <c:pt idx="2">
                  <c:v>110.1714686002133</c:v>
                </c:pt>
                <c:pt idx="3">
                  <c:v>1483.1379417091998</c:v>
                </c:pt>
                <c:pt idx="4">
                  <c:v>597.74663114211319</c:v>
                </c:pt>
                <c:pt idx="5">
                  <c:v>13871.947478734975</c:v>
                </c:pt>
                <c:pt idx="6">
                  <c:v>195.75033635154048</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45065</v>
      </c>
      <c r="B6" s="415"/>
      <c r="C6" s="416"/>
    </row>
    <row r="7" spans="1:7" s="413" customFormat="1" ht="15.75" customHeight="1">
      <c r="A7" s="417" t="str">
        <f>txtMunicipality</f>
        <v>ZWALM</v>
      </c>
      <c r="B7" s="415"/>
      <c r="C7" s="416"/>
    </row>
    <row r="8" spans="1:7" ht="15.75" thickBot="1">
      <c r="A8" s="45"/>
      <c r="B8" s="108"/>
      <c r="C8" s="109"/>
    </row>
    <row r="9" spans="1:7" s="406" customFormat="1" ht="15.75" thickBot="1">
      <c r="A9" s="430" t="s">
        <v>357</v>
      </c>
      <c r="B9" s="433"/>
      <c r="C9" s="434"/>
    </row>
    <row r="10" spans="1:7" s="15" customFormat="1" ht="57.75" customHeight="1" thickBot="1">
      <c r="A10" s="1015" t="s">
        <v>797</v>
      </c>
      <c r="B10" s="1016"/>
      <c r="C10" s="101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18" t="s">
        <v>520</v>
      </c>
      <c r="C16" s="101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45065</v>
      </c>
      <c r="B1" s="332"/>
      <c r="C1" s="332"/>
      <c r="D1" s="332"/>
      <c r="E1" s="332"/>
      <c r="F1" s="333"/>
    </row>
    <row r="3" spans="1:6" ht="19.5">
      <c r="A3" s="335" t="s">
        <v>0</v>
      </c>
    </row>
    <row r="4" spans="1:6" ht="22.5">
      <c r="A4" s="1211" t="s">
        <v>801</v>
      </c>
    </row>
    <row r="5" spans="1:6" ht="22.5">
      <c r="A5" s="1211" t="s">
        <v>802</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3239</v>
      </c>
      <c r="C9" s="342">
        <v>3373</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2077.06</v>
      </c>
    </row>
    <row r="15" spans="1:6">
      <c r="A15" s="348" t="s">
        <v>184</v>
      </c>
      <c r="B15" s="334">
        <v>9</v>
      </c>
    </row>
    <row r="16" spans="1:6">
      <c r="A16" s="348" t="s">
        <v>6</v>
      </c>
      <c r="B16" s="334">
        <v>549</v>
      </c>
    </row>
    <row r="17" spans="1:6">
      <c r="A17" s="348" t="s">
        <v>7</v>
      </c>
      <c r="B17" s="334">
        <v>361</v>
      </c>
    </row>
    <row r="18" spans="1:6">
      <c r="A18" s="348" t="s">
        <v>8</v>
      </c>
      <c r="B18" s="334">
        <v>549</v>
      </c>
    </row>
    <row r="19" spans="1:6">
      <c r="A19" s="348" t="s">
        <v>9</v>
      </c>
      <c r="B19" s="334">
        <v>468</v>
      </c>
    </row>
    <row r="20" spans="1:6">
      <c r="A20" s="348" t="s">
        <v>10</v>
      </c>
      <c r="B20" s="334">
        <v>396</v>
      </c>
    </row>
    <row r="21" spans="1:6">
      <c r="A21" s="348" t="s">
        <v>11</v>
      </c>
      <c r="B21" s="334">
        <v>1030</v>
      </c>
    </row>
    <row r="22" spans="1:6">
      <c r="A22" s="348" t="s">
        <v>12</v>
      </c>
      <c r="B22" s="334">
        <v>2886</v>
      </c>
    </row>
    <row r="23" spans="1:6">
      <c r="A23" s="348" t="s">
        <v>13</v>
      </c>
      <c r="B23" s="334">
        <v>71</v>
      </c>
    </row>
    <row r="24" spans="1:6">
      <c r="A24" s="348" t="s">
        <v>14</v>
      </c>
      <c r="B24" s="334">
        <v>4</v>
      </c>
    </row>
    <row r="25" spans="1:6">
      <c r="A25" s="348" t="s">
        <v>15</v>
      </c>
      <c r="B25" s="334">
        <v>316</v>
      </c>
    </row>
    <row r="26" spans="1:6">
      <c r="A26" s="348" t="s">
        <v>16</v>
      </c>
      <c r="B26" s="334">
        <v>160</v>
      </c>
    </row>
    <row r="27" spans="1:6">
      <c r="A27" s="348" t="s">
        <v>17</v>
      </c>
      <c r="B27" s="334">
        <v>0</v>
      </c>
    </row>
    <row r="28" spans="1:6" s="356" customFormat="1">
      <c r="A28" s="355" t="s">
        <v>18</v>
      </c>
      <c r="B28" s="355">
        <v>101607</v>
      </c>
    </row>
    <row r="29" spans="1:6">
      <c r="A29" s="355" t="s">
        <v>744</v>
      </c>
      <c r="B29" s="355">
        <v>46</v>
      </c>
      <c r="C29" s="356"/>
      <c r="D29" s="356"/>
      <c r="E29" s="356"/>
      <c r="F29" s="356"/>
    </row>
    <row r="30" spans="1:6">
      <c r="A30" s="341" t="s">
        <v>745</v>
      </c>
      <c r="B30" s="341">
        <v>2</v>
      </c>
      <c r="C30" s="342"/>
      <c r="D30" s="342"/>
      <c r="E30" s="342"/>
      <c r="F30" s="342"/>
    </row>
    <row r="31" spans="1:6" ht="15.75" thickBot="1">
      <c r="A31" s="343"/>
    </row>
    <row r="32" spans="1:6" ht="20.25" thickBot="1">
      <c r="A32" s="336" t="s">
        <v>19</v>
      </c>
      <c r="B32" s="337" t="s">
        <v>394</v>
      </c>
      <c r="C32" s="337" t="s">
        <v>803</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2</v>
      </c>
      <c r="F38" s="334">
        <v>163.73250823999999</v>
      </c>
    </row>
    <row r="39" spans="1:6">
      <c r="A39" s="348" t="s">
        <v>30</v>
      </c>
      <c r="B39" s="348" t="s">
        <v>31</v>
      </c>
      <c r="C39" s="334">
        <v>1156</v>
      </c>
      <c r="D39" s="334">
        <v>18912793.778610699</v>
      </c>
      <c r="E39" s="334">
        <v>3099</v>
      </c>
      <c r="F39" s="334">
        <v>13315263.82590444</v>
      </c>
    </row>
    <row r="40" spans="1:6">
      <c r="A40" s="348" t="s">
        <v>30</v>
      </c>
      <c r="B40" s="348" t="s">
        <v>29</v>
      </c>
      <c r="C40" s="334">
        <v>0</v>
      </c>
      <c r="D40" s="334">
        <v>0</v>
      </c>
      <c r="E40" s="334">
        <v>0</v>
      </c>
      <c r="F40" s="334">
        <v>0</v>
      </c>
    </row>
    <row r="41" spans="1:6">
      <c r="A41" s="348" t="s">
        <v>32</v>
      </c>
      <c r="B41" s="348" t="s">
        <v>33</v>
      </c>
      <c r="C41" s="334">
        <v>11</v>
      </c>
      <c r="D41" s="334">
        <v>209785.38700650301</v>
      </c>
      <c r="E41" s="334">
        <v>74</v>
      </c>
      <c r="F41" s="334">
        <v>466723.50011237501</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0</v>
      </c>
      <c r="F44" s="334">
        <v>0</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15</v>
      </c>
      <c r="D48" s="334">
        <v>359921.38617505698</v>
      </c>
      <c r="E48" s="334">
        <v>32</v>
      </c>
      <c r="F48" s="334">
        <v>942660.019170966</v>
      </c>
    </row>
    <row r="49" spans="1:6">
      <c r="A49" s="348" t="s">
        <v>32</v>
      </c>
      <c r="B49" s="348" t="s">
        <v>40</v>
      </c>
      <c r="C49" s="334">
        <v>0</v>
      </c>
      <c r="D49" s="334">
        <v>0</v>
      </c>
      <c r="E49" s="334">
        <v>0</v>
      </c>
      <c r="F49" s="334">
        <v>0</v>
      </c>
    </row>
    <row r="50" spans="1:6">
      <c r="A50" s="348" t="s">
        <v>32</v>
      </c>
      <c r="B50" s="348" t="s">
        <v>41</v>
      </c>
      <c r="C50" s="334">
        <v>0</v>
      </c>
      <c r="D50" s="334">
        <v>0</v>
      </c>
      <c r="E50" s="334">
        <v>4</v>
      </c>
      <c r="F50" s="334">
        <v>99097.454601446196</v>
      </c>
    </row>
    <row r="51" spans="1:6">
      <c r="A51" s="348" t="s">
        <v>42</v>
      </c>
      <c r="B51" s="348" t="s">
        <v>43</v>
      </c>
      <c r="C51" s="334">
        <v>4</v>
      </c>
      <c r="D51" s="334">
        <v>100238.75417150601</v>
      </c>
      <c r="E51" s="334">
        <v>61</v>
      </c>
      <c r="F51" s="334">
        <v>861030.87261918595</v>
      </c>
    </row>
    <row r="52" spans="1:6">
      <c r="A52" s="348" t="s">
        <v>42</v>
      </c>
      <c r="B52" s="348" t="s">
        <v>29</v>
      </c>
      <c r="C52" s="334">
        <v>5</v>
      </c>
      <c r="D52" s="334">
        <v>143358.44984405299</v>
      </c>
      <c r="E52" s="334">
        <v>8</v>
      </c>
      <c r="F52" s="334">
        <v>139081.787960691</v>
      </c>
    </row>
    <row r="53" spans="1:6">
      <c r="A53" s="348" t="s">
        <v>44</v>
      </c>
      <c r="B53" s="348" t="s">
        <v>45</v>
      </c>
      <c r="C53" s="334">
        <v>29</v>
      </c>
      <c r="D53" s="334">
        <v>387594.82951463701</v>
      </c>
      <c r="E53" s="334">
        <v>122</v>
      </c>
      <c r="F53" s="334">
        <v>403045.30008151103</v>
      </c>
    </row>
    <row r="54" spans="1:6">
      <c r="A54" s="348" t="s">
        <v>46</v>
      </c>
      <c r="B54" s="348" t="s">
        <v>47</v>
      </c>
      <c r="C54" s="334">
        <v>0</v>
      </c>
      <c r="D54" s="334">
        <v>0</v>
      </c>
      <c r="E54" s="334">
        <v>1</v>
      </c>
      <c r="F54" s="334">
        <v>557234</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8</v>
      </c>
      <c r="D57" s="334">
        <v>123657.68158136</v>
      </c>
      <c r="E57" s="334">
        <v>39</v>
      </c>
      <c r="F57" s="334">
        <v>1186413.8137262301</v>
      </c>
    </row>
    <row r="58" spans="1:6">
      <c r="A58" s="348" t="s">
        <v>49</v>
      </c>
      <c r="B58" s="348" t="s">
        <v>51</v>
      </c>
      <c r="C58" s="334">
        <v>6</v>
      </c>
      <c r="D58" s="334">
        <v>183808.89846779199</v>
      </c>
      <c r="E58" s="334">
        <v>18</v>
      </c>
      <c r="F58" s="334">
        <v>122310.80802986299</v>
      </c>
    </row>
    <row r="59" spans="1:6">
      <c r="A59" s="348" t="s">
        <v>49</v>
      </c>
      <c r="B59" s="348" t="s">
        <v>52</v>
      </c>
      <c r="C59" s="334">
        <v>0</v>
      </c>
      <c r="D59" s="334">
        <v>0</v>
      </c>
      <c r="E59" s="334">
        <v>44</v>
      </c>
      <c r="F59" s="334">
        <v>945589.09848976904</v>
      </c>
    </row>
    <row r="60" spans="1:6">
      <c r="A60" s="348" t="s">
        <v>49</v>
      </c>
      <c r="B60" s="348" t="s">
        <v>53</v>
      </c>
      <c r="C60" s="334">
        <v>13</v>
      </c>
      <c r="D60" s="334">
        <v>428443.02951292699</v>
      </c>
      <c r="E60" s="334">
        <v>36</v>
      </c>
      <c r="F60" s="334">
        <v>663214.03894209804</v>
      </c>
    </row>
    <row r="61" spans="1:6">
      <c r="A61" s="348" t="s">
        <v>49</v>
      </c>
      <c r="B61" s="348" t="s">
        <v>54</v>
      </c>
      <c r="C61" s="334">
        <v>23</v>
      </c>
      <c r="D61" s="334">
        <v>886756.48693117301</v>
      </c>
      <c r="E61" s="334">
        <v>80</v>
      </c>
      <c r="F61" s="334">
        <v>853944.17558009003</v>
      </c>
    </row>
    <row r="62" spans="1:6">
      <c r="A62" s="348" t="s">
        <v>49</v>
      </c>
      <c r="B62" s="348" t="s">
        <v>55</v>
      </c>
      <c r="C62" s="334">
        <v>0</v>
      </c>
      <c r="D62" s="334">
        <v>0</v>
      </c>
      <c r="E62" s="334">
        <v>8</v>
      </c>
      <c r="F62" s="334">
        <v>74254.532299344894</v>
      </c>
    </row>
    <row r="63" spans="1:6">
      <c r="A63" s="348" t="s">
        <v>49</v>
      </c>
      <c r="B63" s="348" t="s">
        <v>29</v>
      </c>
      <c r="C63" s="334">
        <v>65</v>
      </c>
      <c r="D63" s="334">
        <v>3495458.5956530301</v>
      </c>
      <c r="E63" s="334">
        <v>116</v>
      </c>
      <c r="F63" s="334">
        <v>2222289.1908239401</v>
      </c>
    </row>
    <row r="64" spans="1:6">
      <c r="A64" s="348" t="s">
        <v>56</v>
      </c>
      <c r="B64" s="348" t="s">
        <v>57</v>
      </c>
      <c r="C64" s="334">
        <v>0</v>
      </c>
      <c r="D64" s="334">
        <v>0</v>
      </c>
      <c r="E64" s="334">
        <v>0</v>
      </c>
      <c r="F64" s="334">
        <v>0</v>
      </c>
    </row>
    <row r="65" spans="1:6">
      <c r="A65" s="348" t="s">
        <v>56</v>
      </c>
      <c r="B65" s="348" t="s">
        <v>29</v>
      </c>
      <c r="C65" s="334">
        <v>1</v>
      </c>
      <c r="D65" s="334">
        <v>6253.4653085600003</v>
      </c>
      <c r="E65" s="334">
        <v>5</v>
      </c>
      <c r="F65" s="334">
        <v>18449.551397863601</v>
      </c>
    </row>
    <row r="66" spans="1:6">
      <c r="A66" s="348" t="s">
        <v>56</v>
      </c>
      <c r="B66" s="348" t="s">
        <v>58</v>
      </c>
      <c r="C66" s="334">
        <v>0</v>
      </c>
      <c r="D66" s="334">
        <v>0</v>
      </c>
      <c r="E66" s="334">
        <v>8</v>
      </c>
      <c r="F66" s="334">
        <v>11972.6792193</v>
      </c>
    </row>
    <row r="67" spans="1:6">
      <c r="A67" s="355" t="s">
        <v>56</v>
      </c>
      <c r="B67" s="355" t="s">
        <v>59</v>
      </c>
      <c r="C67" s="334">
        <v>0</v>
      </c>
      <c r="D67" s="334">
        <v>0</v>
      </c>
      <c r="E67" s="334">
        <v>0</v>
      </c>
      <c r="F67" s="334">
        <v>0</v>
      </c>
    </row>
    <row r="68" spans="1:6">
      <c r="A68" s="341" t="s">
        <v>56</v>
      </c>
      <c r="B68" s="341" t="s">
        <v>60</v>
      </c>
      <c r="C68" s="334">
        <v>0</v>
      </c>
      <c r="D68" s="334">
        <v>0</v>
      </c>
      <c r="E68" s="334">
        <v>0</v>
      </c>
      <c r="F68" s="334">
        <v>0</v>
      </c>
    </row>
    <row r="69" spans="1:6" ht="15.75" thickBot="1">
      <c r="A69" s="343"/>
    </row>
    <row r="70" spans="1:6" ht="19.5">
      <c r="A70" s="336" t="s">
        <v>61</v>
      </c>
      <c r="B70" s="337"/>
      <c r="C70" s="337" t="s">
        <v>404</v>
      </c>
      <c r="D70" s="337" t="s">
        <v>804</v>
      </c>
      <c r="E70" s="337"/>
      <c r="F70" s="344"/>
    </row>
    <row r="71" spans="1:6" ht="20.25" thickBot="1">
      <c r="A71" s="357"/>
      <c r="B71" s="358"/>
      <c r="C71" s="358"/>
      <c r="D71" s="359" t="s">
        <v>442</v>
      </c>
      <c r="E71" s="358"/>
      <c r="F71" s="360"/>
    </row>
    <row r="72" spans="1:6" ht="16.5" thickTop="1" thickBot="1">
      <c r="A72" s="345" t="s">
        <v>62</v>
      </c>
      <c r="B72" s="346" t="s">
        <v>63</v>
      </c>
      <c r="C72" s="1212" t="s">
        <v>674</v>
      </c>
      <c r="D72" s="361">
        <v>2016</v>
      </c>
      <c r="E72" s="361">
        <v>2020</v>
      </c>
      <c r="F72" s="347"/>
    </row>
    <row r="73" spans="1:6">
      <c r="A73" s="348" t="s">
        <v>64</v>
      </c>
      <c r="B73" s="348" t="s">
        <v>656</v>
      </c>
      <c r="C73" s="1213" t="s">
        <v>658</v>
      </c>
      <c r="D73" s="476">
        <v>50944173</v>
      </c>
      <c r="E73" s="476">
        <v>58537137.940411724</v>
      </c>
    </row>
    <row r="74" spans="1:6">
      <c r="A74" s="348" t="s">
        <v>64</v>
      </c>
      <c r="B74" s="348" t="s">
        <v>657</v>
      </c>
      <c r="C74" s="1213" t="s">
        <v>659</v>
      </c>
      <c r="D74" s="476">
        <v>4291034.4275340289</v>
      </c>
      <c r="E74" s="476">
        <v>4715134.6339807324</v>
      </c>
    </row>
    <row r="75" spans="1:6">
      <c r="A75" s="348" t="s">
        <v>65</v>
      </c>
      <c r="B75" s="348" t="s">
        <v>656</v>
      </c>
      <c r="C75" s="1213" t="s">
        <v>660</v>
      </c>
      <c r="D75" s="476">
        <v>14116349</v>
      </c>
      <c r="E75" s="476">
        <v>16281889.622923765</v>
      </c>
    </row>
    <row r="76" spans="1:6">
      <c r="A76" s="348" t="s">
        <v>65</v>
      </c>
      <c r="B76" s="348" t="s">
        <v>657</v>
      </c>
      <c r="C76" s="1213" t="s">
        <v>661</v>
      </c>
      <c r="D76" s="476">
        <v>265795.427534029</v>
      </c>
      <c r="E76" s="476">
        <v>300562.62767466909</v>
      </c>
    </row>
    <row r="77" spans="1:6">
      <c r="A77" s="348" t="s">
        <v>66</v>
      </c>
      <c r="B77" s="348" t="s">
        <v>656</v>
      </c>
      <c r="C77" s="1213" t="s">
        <v>662</v>
      </c>
      <c r="D77" s="476">
        <v>0</v>
      </c>
      <c r="E77" s="476">
        <v>0</v>
      </c>
    </row>
    <row r="78" spans="1:6">
      <c r="A78" s="341" t="s">
        <v>66</v>
      </c>
      <c r="B78" s="341" t="s">
        <v>657</v>
      </c>
      <c r="C78" s="341" t="s">
        <v>663</v>
      </c>
      <c r="D78" s="1214">
        <v>0</v>
      </c>
      <c r="E78" s="1214">
        <v>0</v>
      </c>
      <c r="F78" s="342"/>
    </row>
    <row r="79" spans="1:6">
      <c r="A79" s="362"/>
      <c r="B79" s="362"/>
    </row>
    <row r="80" spans="1:6" ht="15.75" thickBot="1">
      <c r="A80" s="362"/>
      <c r="B80" s="362"/>
    </row>
    <row r="81" spans="1:6" ht="20.25" thickBot="1">
      <c r="A81" s="336" t="s">
        <v>334</v>
      </c>
      <c r="B81" s="363" t="s">
        <v>394</v>
      </c>
      <c r="C81" s="337" t="s">
        <v>805</v>
      </c>
      <c r="D81" s="337"/>
      <c r="E81" s="337"/>
      <c r="F81" s="344"/>
    </row>
    <row r="82" spans="1:6" ht="16.5" thickTop="1" thickBot="1">
      <c r="A82" s="345" t="s">
        <v>335</v>
      </c>
      <c r="B82" s="361">
        <v>2016</v>
      </c>
      <c r="C82" s="361">
        <v>2020</v>
      </c>
      <c r="D82" s="346"/>
      <c r="E82" s="346"/>
      <c r="F82" s="347"/>
    </row>
    <row r="83" spans="1:6">
      <c r="A83" s="348" t="s">
        <v>336</v>
      </c>
      <c r="B83" s="476">
        <v>210135.14493194193</v>
      </c>
      <c r="C83" s="476">
        <v>209328.27552971288</v>
      </c>
    </row>
    <row r="84" spans="1:6">
      <c r="A84" s="341" t="s">
        <v>337</v>
      </c>
      <c r="B84" s="1214">
        <v>0</v>
      </c>
      <c r="C84" s="1214">
        <v>0</v>
      </c>
      <c r="D84" s="342"/>
      <c r="E84" s="342"/>
      <c r="F84" s="342"/>
    </row>
    <row r="85" spans="1:6">
      <c r="A85" s="362"/>
      <c r="B85" s="364"/>
    </row>
    <row r="86" spans="1:6" ht="15.75" thickBot="1">
      <c r="A86" s="343"/>
    </row>
    <row r="87" spans="1:6" ht="20.25" thickBot="1">
      <c r="A87" s="336" t="s">
        <v>67</v>
      </c>
      <c r="B87" s="337" t="s">
        <v>394</v>
      </c>
      <c r="C87" s="337" t="s">
        <v>806</v>
      </c>
      <c r="D87" s="337"/>
      <c r="E87" s="337"/>
      <c r="F87" s="344"/>
    </row>
    <row r="88" spans="1:6" ht="16.5" thickTop="1" thickBot="1">
      <c r="A88" s="345" t="s">
        <v>4</v>
      </c>
      <c r="B88" s="346" t="s">
        <v>170</v>
      </c>
      <c r="C88" s="346"/>
      <c r="D88" s="346"/>
      <c r="E88" s="346"/>
      <c r="F88" s="347"/>
    </row>
    <row r="89" spans="1:6">
      <c r="A89" s="348" t="s">
        <v>548</v>
      </c>
      <c r="B89" s="334">
        <v>17.590620040955631</v>
      </c>
    </row>
    <row r="90" spans="1:6">
      <c r="A90" s="348" t="s">
        <v>549</v>
      </c>
      <c r="B90" s="1215">
        <v>0</v>
      </c>
    </row>
    <row r="91" spans="1:6">
      <c r="A91" s="348" t="s">
        <v>68</v>
      </c>
      <c r="B91" s="334">
        <v>2160.1265336185443</v>
      </c>
    </row>
    <row r="92" spans="1:6">
      <c r="A92" s="341" t="s">
        <v>69</v>
      </c>
      <c r="B92" s="342">
        <v>176.72010500815645</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72</v>
      </c>
    </row>
    <row r="98" spans="1:6">
      <c r="A98" s="348" t="s">
        <v>72</v>
      </c>
      <c r="B98" s="334">
        <v>1</v>
      </c>
    </row>
    <row r="99" spans="1:6">
      <c r="A99" s="348" t="s">
        <v>73</v>
      </c>
      <c r="B99" s="334">
        <v>102</v>
      </c>
    </row>
    <row r="100" spans="1:6">
      <c r="A100" s="348" t="s">
        <v>74</v>
      </c>
      <c r="B100" s="334">
        <v>331</v>
      </c>
    </row>
    <row r="101" spans="1:6">
      <c r="A101" s="348" t="s">
        <v>75</v>
      </c>
      <c r="B101" s="334">
        <v>77</v>
      </c>
    </row>
    <row r="102" spans="1:6">
      <c r="A102" s="348" t="s">
        <v>76</v>
      </c>
      <c r="B102" s="334">
        <v>48</v>
      </c>
    </row>
    <row r="103" spans="1:6">
      <c r="A103" s="348" t="s">
        <v>77</v>
      </c>
      <c r="B103" s="334">
        <v>263</v>
      </c>
    </row>
    <row r="104" spans="1:6">
      <c r="A104" s="348" t="s">
        <v>78</v>
      </c>
      <c r="B104" s="334">
        <v>1972</v>
      </c>
    </row>
    <row r="105" spans="1:6">
      <c r="A105" s="341" t="s">
        <v>79</v>
      </c>
      <c r="B105" s="341">
        <v>4</v>
      </c>
      <c r="C105" s="342"/>
      <c r="D105" s="342"/>
      <c r="E105" s="342"/>
      <c r="F105" s="342"/>
    </row>
    <row r="106" spans="1:6">
      <c r="A106" s="343"/>
    </row>
    <row r="107" spans="1:6" ht="15.75" thickBot="1">
      <c r="A107" s="343"/>
    </row>
    <row r="108" spans="1:6" ht="20.25" thickBot="1">
      <c r="A108" s="336" t="s">
        <v>645</v>
      </c>
      <c r="B108" s="337" t="s">
        <v>394</v>
      </c>
      <c r="C108" s="337" t="s">
        <v>807</v>
      </c>
      <c r="D108" s="337"/>
      <c r="E108" s="337"/>
      <c r="F108" s="344"/>
    </row>
    <row r="109" spans="1:6" ht="16.5" thickTop="1" thickBot="1">
      <c r="A109" s="345" t="s">
        <v>4</v>
      </c>
      <c r="B109" s="346" t="s">
        <v>5</v>
      </c>
      <c r="C109" s="346"/>
      <c r="D109" s="346"/>
      <c r="E109" s="346"/>
      <c r="F109" s="347"/>
    </row>
    <row r="110" spans="1:6">
      <c r="A110" s="348" t="s">
        <v>646</v>
      </c>
      <c r="B110" s="334">
        <v>1</v>
      </c>
    </row>
    <row r="111" spans="1:6">
      <c r="A111" s="1216" t="s">
        <v>647</v>
      </c>
      <c r="B111" s="1217">
        <v>0</v>
      </c>
      <c r="C111" s="1217"/>
      <c r="D111" s="1217"/>
      <c r="E111" s="1217"/>
      <c r="F111" s="1217"/>
    </row>
    <row r="112" spans="1:6">
      <c r="A112" s="348"/>
    </row>
    <row r="113" spans="1:6" ht="15.75" thickBot="1">
      <c r="A113" s="341"/>
      <c r="B113" s="342"/>
      <c r="C113" s="342"/>
      <c r="D113" s="342"/>
      <c r="E113" s="342"/>
      <c r="F113" s="342"/>
    </row>
    <row r="114" spans="1:6" ht="20.25" thickBot="1">
      <c r="A114" s="336" t="s">
        <v>80</v>
      </c>
      <c r="B114" s="337" t="s">
        <v>394</v>
      </c>
      <c r="C114" s="337" t="s">
        <v>808</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33</v>
      </c>
      <c r="C123" s="334">
        <v>13</v>
      </c>
    </row>
    <row r="124" spans="1:6">
      <c r="A124" s="341" t="s">
        <v>89</v>
      </c>
      <c r="B124" s="334">
        <v>2</v>
      </c>
      <c r="C124" s="334">
        <v>1</v>
      </c>
      <c r="D124" s="342"/>
      <c r="E124" s="342"/>
      <c r="F124" s="342"/>
    </row>
    <row r="125" spans="1:6">
      <c r="A125" s="362"/>
    </row>
    <row r="126" spans="1:6" ht="15.75" thickBot="1">
      <c r="A126" s="362"/>
    </row>
    <row r="127" spans="1:6" ht="20.25" thickBot="1">
      <c r="A127" s="336" t="s">
        <v>293</v>
      </c>
      <c r="B127" s="337" t="s">
        <v>394</v>
      </c>
      <c r="C127" s="337" t="s">
        <v>807</v>
      </c>
      <c r="D127" s="337"/>
      <c r="E127" s="337"/>
      <c r="F127" s="344"/>
    </row>
    <row r="128" spans="1:6" ht="16.5" thickTop="1" thickBot="1">
      <c r="A128" s="345" t="s">
        <v>4</v>
      </c>
      <c r="B128" s="346" t="s">
        <v>5</v>
      </c>
      <c r="C128" s="346"/>
      <c r="D128" s="346"/>
      <c r="E128" s="346"/>
      <c r="F128" s="347"/>
    </row>
    <row r="129" spans="1:6">
      <c r="A129" s="348" t="s">
        <v>294</v>
      </c>
      <c r="B129" s="334">
        <v>126</v>
      </c>
    </row>
    <row r="130" spans="1:6">
      <c r="A130" s="348" t="s">
        <v>295</v>
      </c>
      <c r="B130" s="334">
        <v>6</v>
      </c>
    </row>
    <row r="131" spans="1:6">
      <c r="A131" s="348" t="s">
        <v>296</v>
      </c>
      <c r="B131" s="334">
        <v>0</v>
      </c>
    </row>
    <row r="132" spans="1:6">
      <c r="A132" s="341" t="s">
        <v>297</v>
      </c>
      <c r="B132" s="342">
        <v>27</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24904.828676809921</v>
      </c>
      <c r="C3" s="43" t="s">
        <v>170</v>
      </c>
      <c r="D3" s="43"/>
      <c r="E3" s="154"/>
      <c r="F3" s="43"/>
      <c r="G3" s="43"/>
      <c r="H3" s="43"/>
      <c r="I3" s="43"/>
      <c r="J3" s="43"/>
      <c r="K3" s="96"/>
    </row>
    <row r="4" spans="1:11">
      <c r="A4" s="383" t="s">
        <v>171</v>
      </c>
      <c r="B4" s="49">
        <f>IF(ISERROR('SEAP template'!B69),0,'SEAP template'!B69)</f>
        <v>2624.4372586676568</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0.19771131804630243</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0</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17">
        <v>2016</v>
      </c>
      <c r="B1" s="111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19"/>
      <c r="B2" s="112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19"/>
      <c r="B3" s="112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21"/>
      <c r="B4" s="112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23" t="s">
        <v>471</v>
      </c>
      <c r="B2" s="1124"/>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25" t="s">
        <v>194</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557.23400000000004</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557.23400000000004</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0.19771131804630243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110.1714686002133</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8" activePane="bottomRight" state="frozen"/>
      <selection activeCell="B35" sqref="B35"/>
      <selection pane="topRight" activeCell="B35" sqref="B35"/>
      <selection pane="bottomLeft" activeCell="B35" sqref="B35"/>
      <selection pane="bottomRight" activeCell="A32" sqref="A3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25" t="s">
        <v>155</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13315.26382590444</v>
      </c>
      <c r="C5" s="17">
        <f>IF(ISERROR('Eigen informatie GS &amp; warmtenet'!B57),0,'Eigen informatie GS &amp; warmtenet'!B57)</f>
        <v>0</v>
      </c>
      <c r="D5" s="30">
        <f>(SUM(HH_hh_gas_kWh,HH_rest_gas_kWh)/1000)*0.902</f>
        <v>17059.339988306852</v>
      </c>
      <c r="E5" s="17">
        <f>B46*B57</f>
        <v>3684.1775839250017</v>
      </c>
      <c r="F5" s="17">
        <f>B51*B62</f>
        <v>25795.088809584366</v>
      </c>
      <c r="G5" s="18"/>
      <c r="H5" s="17"/>
      <c r="I5" s="17"/>
      <c r="J5" s="17">
        <f>B50*B61+C50*C61</f>
        <v>5451.2465491820458</v>
      </c>
      <c r="K5" s="17"/>
      <c r="L5" s="17"/>
      <c r="M5" s="17"/>
      <c r="N5" s="17">
        <f>B48*B59+C48*C59</f>
        <v>9478.1543602413221</v>
      </c>
      <c r="O5" s="17">
        <f>B69*B70*B71</f>
        <v>218.86666666666667</v>
      </c>
      <c r="P5" s="17">
        <f>B77*B78*B79/1000-B77*B78*B79/1000/B80</f>
        <v>1182.1333333333332</v>
      </c>
    </row>
    <row r="6" spans="1:16">
      <c r="A6" s="16" t="s">
        <v>621</v>
      </c>
      <c r="B6" s="843">
        <f>kWh_PV_kleiner_dan_10kW</f>
        <v>2160.1265336185443</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15475.390359522984</v>
      </c>
      <c r="C8" s="21">
        <f>C5</f>
        <v>0</v>
      </c>
      <c r="D8" s="21">
        <f>D5</f>
        <v>17059.339988306852</v>
      </c>
      <c r="E8" s="21">
        <f>E5</f>
        <v>3684.1775839250017</v>
      </c>
      <c r="F8" s="21">
        <f>F5</f>
        <v>25795.088809584366</v>
      </c>
      <c r="G8" s="21"/>
      <c r="H8" s="21"/>
      <c r="I8" s="21"/>
      <c r="J8" s="21">
        <f>J5</f>
        <v>5451.2465491820458</v>
      </c>
      <c r="K8" s="21"/>
      <c r="L8" s="21">
        <f>L5</f>
        <v>0</v>
      </c>
      <c r="M8" s="21">
        <f>M5</f>
        <v>0</v>
      </c>
      <c r="N8" s="21">
        <f>N5</f>
        <v>9478.1543602413221</v>
      </c>
      <c r="O8" s="21">
        <f>O5</f>
        <v>218.86666666666667</v>
      </c>
      <c r="P8" s="21">
        <f>P5</f>
        <v>1182.1333333333332</v>
      </c>
    </row>
    <row r="9" spans="1:16">
      <c r="B9" s="19"/>
      <c r="C9" s="19"/>
      <c r="D9" s="258"/>
      <c r="E9" s="19"/>
      <c r="F9" s="19"/>
      <c r="G9" s="19"/>
      <c r="H9" s="19"/>
      <c r="I9" s="19"/>
      <c r="J9" s="19"/>
      <c r="K9" s="19"/>
      <c r="L9" s="19"/>
      <c r="M9" s="19"/>
      <c r="N9" s="19"/>
      <c r="O9" s="19"/>
      <c r="P9" s="19"/>
    </row>
    <row r="10" spans="1:16">
      <c r="A10" s="24" t="s">
        <v>214</v>
      </c>
      <c r="B10" s="25">
        <f ca="1">'EF ele_warmte'!B12</f>
        <v>0.19771131804630243</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3059.6598252623312</v>
      </c>
      <c r="C12" s="23">
        <f ca="1">C10*C8</f>
        <v>0</v>
      </c>
      <c r="D12" s="23">
        <f>D8*D10</f>
        <v>3445.9866776379845</v>
      </c>
      <c r="E12" s="23">
        <f>E10*E8</f>
        <v>836.30831155097542</v>
      </c>
      <c r="F12" s="23">
        <f>F10*F8</f>
        <v>6887.2887121590256</v>
      </c>
      <c r="G12" s="23"/>
      <c r="H12" s="23"/>
      <c r="I12" s="23"/>
      <c r="J12" s="23">
        <f>J10*J8</f>
        <v>1929.741278410444</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72</v>
      </c>
      <c r="C18" s="166" t="s">
        <v>111</v>
      </c>
      <c r="D18" s="228"/>
      <c r="E18" s="15"/>
    </row>
    <row r="19" spans="1:7">
      <c r="A19" s="171" t="s">
        <v>72</v>
      </c>
      <c r="B19" s="37">
        <f>aantalw2001_ander</f>
        <v>1</v>
      </c>
      <c r="C19" s="166" t="s">
        <v>111</v>
      </c>
      <c r="D19" s="229"/>
      <c r="E19" s="15"/>
    </row>
    <row r="20" spans="1:7">
      <c r="A20" s="171" t="s">
        <v>73</v>
      </c>
      <c r="B20" s="37">
        <f>aantalw2001_propaan</f>
        <v>102</v>
      </c>
      <c r="C20" s="167">
        <f>IF(ISERROR(B20/SUM($B$20,$B$21,$B$22)*100),0,B20/SUM($B$20,$B$21,$B$22)*100)</f>
        <v>20</v>
      </c>
      <c r="D20" s="229"/>
      <c r="E20" s="15"/>
    </row>
    <row r="21" spans="1:7">
      <c r="A21" s="171" t="s">
        <v>74</v>
      </c>
      <c r="B21" s="37">
        <f>aantalw2001_elektriciteit</f>
        <v>331</v>
      </c>
      <c r="C21" s="167">
        <f>IF(ISERROR(B21/SUM($B$20,$B$21,$B$22)*100),0,B21/SUM($B$20,$B$21,$B$22)*100)</f>
        <v>64.901960784313729</v>
      </c>
      <c r="D21" s="229"/>
      <c r="E21" s="15"/>
    </row>
    <row r="22" spans="1:7">
      <c r="A22" s="171" t="s">
        <v>75</v>
      </c>
      <c r="B22" s="37">
        <f>aantalw2001_hout</f>
        <v>77</v>
      </c>
      <c r="C22" s="167">
        <f>IF(ISERROR(B22/SUM($B$20,$B$21,$B$22)*100),0,B22/SUM($B$20,$B$21,$B$22)*100)</f>
        <v>15.098039215686274</v>
      </c>
      <c r="D22" s="229"/>
      <c r="E22" s="15"/>
    </row>
    <row r="23" spans="1:7">
      <c r="A23" s="171" t="s">
        <v>76</v>
      </c>
      <c r="B23" s="37">
        <f>aantalw2001_niet_gespec</f>
        <v>48</v>
      </c>
      <c r="C23" s="166" t="s">
        <v>111</v>
      </c>
      <c r="D23" s="228"/>
      <c r="E23" s="15"/>
    </row>
    <row r="24" spans="1:7">
      <c r="A24" s="171" t="s">
        <v>77</v>
      </c>
      <c r="B24" s="37">
        <f>aantalw2001_steenkool</f>
        <v>263</v>
      </c>
      <c r="C24" s="166" t="s">
        <v>111</v>
      </c>
      <c r="D24" s="229"/>
      <c r="E24" s="15"/>
    </row>
    <row r="25" spans="1:7">
      <c r="A25" s="171" t="s">
        <v>78</v>
      </c>
      <c r="B25" s="37">
        <f>aantalw2001_stookolie</f>
        <v>1972</v>
      </c>
      <c r="C25" s="166" t="s">
        <v>111</v>
      </c>
      <c r="D25" s="228"/>
      <c r="E25" s="52"/>
    </row>
    <row r="26" spans="1:7">
      <c r="A26" s="171" t="s">
        <v>79</v>
      </c>
      <c r="B26" s="37">
        <f>aantalw2001_WP</f>
        <v>4</v>
      </c>
      <c r="C26" s="166" t="s">
        <v>111</v>
      </c>
      <c r="D26" s="228"/>
      <c r="E26" s="15"/>
    </row>
    <row r="27" spans="1:7" s="15" customFormat="1">
      <c r="A27" s="171"/>
      <c r="B27" s="29"/>
      <c r="C27" s="36"/>
      <c r="D27" s="228"/>
    </row>
    <row r="28" spans="1:7" s="15" customFormat="1">
      <c r="A28" s="230" t="s">
        <v>794</v>
      </c>
      <c r="B28" s="37">
        <f>aantalHuishoudens2011</f>
        <v>3239</v>
      </c>
      <c r="C28" s="36"/>
      <c r="D28" s="228"/>
    </row>
    <row r="29" spans="1:7" s="15" customFormat="1">
      <c r="A29" s="230" t="s">
        <v>795</v>
      </c>
      <c r="B29" s="37">
        <f>SUM(HH_hh_gas_aantal,HH_rest_gas_aantal)</f>
        <v>1156</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1156</v>
      </c>
      <c r="C32" s="167">
        <f>IF(ISERROR(B32/SUM($B$32,$B$34,$B$35,$B$36,$B$38,$B$39)*100),0,B32/SUM($B$32,$B$34,$B$35,$B$36,$B$38,$B$39)*100)</f>
        <v>36.386528171230722</v>
      </c>
      <c r="D32" s="233"/>
      <c r="G32" s="15"/>
    </row>
    <row r="33" spans="1:7">
      <c r="A33" s="171" t="s">
        <v>72</v>
      </c>
      <c r="B33" s="34" t="s">
        <v>111</v>
      </c>
      <c r="C33" s="167"/>
      <c r="D33" s="233"/>
      <c r="G33" s="15"/>
    </row>
    <row r="34" spans="1:7">
      <c r="A34" s="171" t="s">
        <v>73</v>
      </c>
      <c r="B34" s="33">
        <f>IF((($B$28-$B$32-$B$39-$B$77-$B$38)*C20/100)&lt;0,0,($B$28-$B$32-$B$39-$B$77-$B$38)*C20/100)</f>
        <v>173.99999999999997</v>
      </c>
      <c r="C34" s="167">
        <f>IF(ISERROR(B34/SUM($B$32,$B$34,$B$35,$B$36,$B$38,$B$39)*100),0,B34/SUM($B$32,$B$34,$B$35,$B$36,$B$38,$B$39)*100)</f>
        <v>5.4768649669499521</v>
      </c>
      <c r="D34" s="233"/>
      <c r="G34" s="15"/>
    </row>
    <row r="35" spans="1:7">
      <c r="A35" s="171" t="s">
        <v>74</v>
      </c>
      <c r="B35" s="33">
        <f>IF((($B$28-$B$32-$B$39-$B$77-$B$38)*C21/100)&lt;0,0,($B$28-$B$32-$B$39-$B$77-$B$38)*C21/100)</f>
        <v>564.64705882352939</v>
      </c>
      <c r="C35" s="167">
        <f>IF(ISERROR(B35/SUM($B$32,$B$34,$B$35,$B$36,$B$38,$B$39)*100),0,B35/SUM($B$32,$B$34,$B$35,$B$36,$B$38,$B$39)*100)</f>
        <v>17.772963765298375</v>
      </c>
      <c r="D35" s="233"/>
      <c r="G35" s="15"/>
    </row>
    <row r="36" spans="1:7">
      <c r="A36" s="171" t="s">
        <v>75</v>
      </c>
      <c r="B36" s="33">
        <f>IF((($B$28-$B$32-$B$39-$B$77-$B$38)*C22/100)&lt;0,0,($B$28-$B$32-$B$39-$B$77-$B$38)*C22/100)</f>
        <v>131.35294117647058</v>
      </c>
      <c r="C36" s="167">
        <f>IF(ISERROR(B36/SUM($B$32,$B$34,$B$35,$B$36,$B$38,$B$39)*100),0,B36/SUM($B$32,$B$34,$B$35,$B$36,$B$38,$B$39)*100)</f>
        <v>4.1344961025014344</v>
      </c>
      <c r="D36" s="233"/>
      <c r="G36" s="15"/>
    </row>
    <row r="37" spans="1:7">
      <c r="A37" s="171" t="s">
        <v>76</v>
      </c>
      <c r="B37" s="34" t="s">
        <v>111</v>
      </c>
      <c r="C37" s="167"/>
      <c r="D37" s="173"/>
      <c r="G37" s="15"/>
    </row>
    <row r="38" spans="1:7">
      <c r="A38" s="171" t="s">
        <v>77</v>
      </c>
      <c r="B38" s="33">
        <f>IF((B24-(B29-B18)*0.1)&lt;0,0,B24-(B29-B18)*0.1)</f>
        <v>154.6</v>
      </c>
      <c r="C38" s="167">
        <f>IF(ISERROR(B38/SUM($B$32,$B$34,$B$35,$B$36,$B$38,$B$39)*100),0,B38/SUM($B$32,$B$34,$B$35,$B$36,$B$38,$B$39)*100)</f>
        <v>4.8662259993704753</v>
      </c>
      <c r="D38" s="234"/>
      <c r="G38" s="15"/>
    </row>
    <row r="39" spans="1:7">
      <c r="A39" s="171" t="s">
        <v>78</v>
      </c>
      <c r="B39" s="33">
        <f>IF((B25-(B29-B18))&lt;0,0,B25-(B29-B18)*0.9)</f>
        <v>996.4</v>
      </c>
      <c r="C39" s="167">
        <f>IF(ISERROR(B39/SUM($B$32,$B$34,$B$35,$B$36,$B$38,$B$39)*100),0,B39/SUM($B$32,$B$34,$B$35,$B$36,$B$38,$B$39)*100)</f>
        <v>31.362920994649041</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1156</v>
      </c>
      <c r="C44" s="34" t="s">
        <v>111</v>
      </c>
      <c r="D44" s="174"/>
    </row>
    <row r="45" spans="1:7">
      <c r="A45" s="171" t="s">
        <v>72</v>
      </c>
      <c r="B45" s="33" t="str">
        <f t="shared" si="0"/>
        <v>-</v>
      </c>
      <c r="C45" s="34" t="s">
        <v>111</v>
      </c>
      <c r="D45" s="174"/>
    </row>
    <row r="46" spans="1:7">
      <c r="A46" s="171" t="s">
        <v>73</v>
      </c>
      <c r="B46" s="33">
        <f t="shared" si="0"/>
        <v>173.99999999999997</v>
      </c>
      <c r="C46" s="34" t="s">
        <v>111</v>
      </c>
      <c r="D46" s="174"/>
    </row>
    <row r="47" spans="1:7">
      <c r="A47" s="171" t="s">
        <v>74</v>
      </c>
      <c r="B47" s="33">
        <f t="shared" si="0"/>
        <v>564.64705882352939</v>
      </c>
      <c r="C47" s="34" t="s">
        <v>111</v>
      </c>
      <c r="D47" s="174"/>
    </row>
    <row r="48" spans="1:7">
      <c r="A48" s="171" t="s">
        <v>75</v>
      </c>
      <c r="B48" s="33">
        <f t="shared" si="0"/>
        <v>131.35294117647058</v>
      </c>
      <c r="C48" s="33">
        <f>B48*10</f>
        <v>1313.5294117647059</v>
      </c>
      <c r="D48" s="234"/>
    </row>
    <row r="49" spans="1:6">
      <c r="A49" s="171" t="s">
        <v>76</v>
      </c>
      <c r="B49" s="33" t="str">
        <f t="shared" si="0"/>
        <v>-</v>
      </c>
      <c r="C49" s="34" t="s">
        <v>111</v>
      </c>
      <c r="D49" s="234"/>
    </row>
    <row r="50" spans="1:6">
      <c r="A50" s="171" t="s">
        <v>77</v>
      </c>
      <c r="B50" s="33">
        <f t="shared" si="0"/>
        <v>154.6</v>
      </c>
      <c r="C50" s="33">
        <f>B50*2</f>
        <v>309.2</v>
      </c>
      <c r="D50" s="234"/>
    </row>
    <row r="51" spans="1:6">
      <c r="A51" s="171" t="s">
        <v>78</v>
      </c>
      <c r="B51" s="33">
        <f t="shared" si="0"/>
        <v>996.4</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140</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62</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6" zoomScale="80" zoomScaleNormal="80" workbookViewId="0">
      <selection activeCell="D26" sqref="D26:D32"/>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156</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6068.0156578913356</v>
      </c>
      <c r="C5" s="17">
        <f>IF(ISERROR('Eigen informatie GS &amp; warmtenet'!B58),0,'Eigen informatie GS &amp; warmtenet'!B58)</f>
        <v>0</v>
      </c>
      <c r="D5" s="30">
        <f>SUM(D6:D12)</f>
        <v>4616.5484723159461</v>
      </c>
      <c r="E5" s="17">
        <f>SUM(E6:E12)</f>
        <v>73.937416809334934</v>
      </c>
      <c r="F5" s="17">
        <f>SUM(F6:F12)</f>
        <v>1120.3262604736974</v>
      </c>
      <c r="G5" s="18"/>
      <c r="H5" s="17"/>
      <c r="I5" s="17"/>
      <c r="J5" s="17">
        <f>SUM(J6:J12)</f>
        <v>3.1133722640680834E-2</v>
      </c>
      <c r="K5" s="17"/>
      <c r="L5" s="17"/>
      <c r="M5" s="17"/>
      <c r="N5" s="17">
        <f>SUM(N6:N12)</f>
        <v>1227.0773586994808</v>
      </c>
      <c r="O5" s="17">
        <f>B38*B39*B40</f>
        <v>9.3800000000000008</v>
      </c>
      <c r="P5" s="17">
        <f>B46*B47*B48/1000-B46*B47*B48/1000/B49</f>
        <v>0</v>
      </c>
      <c r="R5" s="32"/>
    </row>
    <row r="6" spans="1:18">
      <c r="A6" s="32" t="s">
        <v>54</v>
      </c>
      <c r="B6" s="37">
        <f>B26</f>
        <v>853.94417558009002</v>
      </c>
      <c r="C6" s="33"/>
      <c r="D6" s="37">
        <f>IF(ISERROR(TER_kantoor_gas_kWh/1000),0,TER_kantoor_gas_kWh/1000)*0.902</f>
        <v>799.85435121191801</v>
      </c>
      <c r="E6" s="33">
        <f>$C$26*'E Balans VL '!I12/100/3.6*1000000</f>
        <v>5.3522380751527395E-3</v>
      </c>
      <c r="F6" s="33">
        <f>$C$26*('E Balans VL '!L12+'E Balans VL '!N12)/100/3.6*1000000</f>
        <v>128.32394811366308</v>
      </c>
      <c r="G6" s="34"/>
      <c r="H6" s="33"/>
      <c r="I6" s="33"/>
      <c r="J6" s="33">
        <f>$C$26*('E Balans VL '!D12+'E Balans VL '!E12)/100/3.6*1000000</f>
        <v>0</v>
      </c>
      <c r="K6" s="33"/>
      <c r="L6" s="33"/>
      <c r="M6" s="33"/>
      <c r="N6" s="33">
        <f>$C$26*'E Balans VL '!Y12/100/3.6*1000000</f>
        <v>0.81667099282349476</v>
      </c>
      <c r="O6" s="33"/>
      <c r="P6" s="33"/>
      <c r="R6" s="32"/>
    </row>
    <row r="7" spans="1:18">
      <c r="A7" s="32" t="s">
        <v>53</v>
      </c>
      <c r="B7" s="37">
        <f t="shared" ref="B7:B12" si="0">B27</f>
        <v>663.214038942098</v>
      </c>
      <c r="C7" s="33"/>
      <c r="D7" s="37">
        <f>IF(ISERROR(TER_horeca_gas_kWh/1000),0,TER_horeca_gas_kWh/1000)*0.902</f>
        <v>386.45561262066019</v>
      </c>
      <c r="E7" s="33">
        <f>$C$27*'E Balans VL '!I9/100/3.6*1000000</f>
        <v>9.4971145672805388</v>
      </c>
      <c r="F7" s="33">
        <f>$C$27*('E Balans VL '!L9+'E Balans VL '!N9)/100/3.6*1000000</f>
        <v>83.984770971774864</v>
      </c>
      <c r="G7" s="34"/>
      <c r="H7" s="33"/>
      <c r="I7" s="33"/>
      <c r="J7" s="33">
        <f>$C$27*('E Balans VL '!D9+'E Balans VL '!E9)/100/3.6*1000000</f>
        <v>0</v>
      </c>
      <c r="K7" s="33"/>
      <c r="L7" s="33"/>
      <c r="M7" s="33"/>
      <c r="N7" s="33">
        <f>$C$27*'E Balans VL '!Y9/100/3.6*1000000</f>
        <v>0.19065941358149485</v>
      </c>
      <c r="O7" s="33"/>
      <c r="P7" s="33"/>
      <c r="R7" s="32"/>
    </row>
    <row r="8" spans="1:18">
      <c r="A8" s="6" t="s">
        <v>52</v>
      </c>
      <c r="B8" s="37">
        <f t="shared" si="0"/>
        <v>945.58909848976907</v>
      </c>
      <c r="C8" s="33"/>
      <c r="D8" s="37">
        <f>IF(ISERROR(TER_handel_gas_kWh/1000),0,TER_handel_gas_kWh/1000)*0.902</f>
        <v>0</v>
      </c>
      <c r="E8" s="33">
        <f>$C$28*'E Balans VL '!I13/100/3.6*1000000</f>
        <v>34.296399997400371</v>
      </c>
      <c r="F8" s="33">
        <f>$C$28*('E Balans VL '!L13+'E Balans VL '!N13)/100/3.6*1000000</f>
        <v>182.130035067492</v>
      </c>
      <c r="G8" s="34"/>
      <c r="H8" s="33"/>
      <c r="I8" s="33"/>
      <c r="J8" s="33">
        <f>$C$28*('E Balans VL '!D13+'E Balans VL '!E13)/100/3.6*1000000</f>
        <v>0</v>
      </c>
      <c r="K8" s="33"/>
      <c r="L8" s="33"/>
      <c r="M8" s="33"/>
      <c r="N8" s="33">
        <f>$C$28*'E Balans VL '!Y13/100/3.6*1000000</f>
        <v>1.3098584717565458</v>
      </c>
      <c r="O8" s="33"/>
      <c r="P8" s="33"/>
      <c r="R8" s="32"/>
    </row>
    <row r="9" spans="1:18">
      <c r="A9" s="32" t="s">
        <v>51</v>
      </c>
      <c r="B9" s="37">
        <f t="shared" si="0"/>
        <v>122.310808029863</v>
      </c>
      <c r="C9" s="33"/>
      <c r="D9" s="37">
        <f>IF(ISERROR(TER_gezond_gas_kWh/1000),0,TER_gezond_gas_kWh/1000)*0.902</f>
        <v>165.7956264179484</v>
      </c>
      <c r="E9" s="33">
        <f>$C$29*'E Balans VL '!I10/100/3.6*1000000</f>
        <v>7.6578641837329719E-3</v>
      </c>
      <c r="F9" s="33">
        <f>$C$29*('E Balans VL '!L10+'E Balans VL '!N10)/100/3.6*1000000</f>
        <v>18.169642933781006</v>
      </c>
      <c r="G9" s="34"/>
      <c r="H9" s="33"/>
      <c r="I9" s="33"/>
      <c r="J9" s="33">
        <f>$C$29*('E Balans VL '!D10+'E Balans VL '!E10)/100/3.6*1000000</f>
        <v>0</v>
      </c>
      <c r="K9" s="33"/>
      <c r="L9" s="33"/>
      <c r="M9" s="33"/>
      <c r="N9" s="33">
        <f>$C$29*'E Balans VL '!Y10/100/3.6*1000000</f>
        <v>1.8919153805900599</v>
      </c>
      <c r="O9" s="33"/>
      <c r="P9" s="33"/>
      <c r="R9" s="32"/>
    </row>
    <row r="10" spans="1:18">
      <c r="A10" s="32" t="s">
        <v>50</v>
      </c>
      <c r="B10" s="37">
        <f t="shared" si="0"/>
        <v>1186.41381372623</v>
      </c>
      <c r="C10" s="33"/>
      <c r="D10" s="37">
        <f>IF(ISERROR(TER_ander_gas_kWh/1000),0,TER_ander_gas_kWh/1000)*0.902</f>
        <v>111.53922878638672</v>
      </c>
      <c r="E10" s="33">
        <f>$C$30*'E Balans VL '!I14/100/3.6*1000000</f>
        <v>1.4141628706955047</v>
      </c>
      <c r="F10" s="33">
        <f>$C$30*('E Balans VL '!L14+'E Balans VL '!N14)/100/3.6*1000000</f>
        <v>310.41859748627502</v>
      </c>
      <c r="G10" s="34"/>
      <c r="H10" s="33"/>
      <c r="I10" s="33"/>
      <c r="J10" s="33">
        <f>$C$30*('E Balans VL '!D14+'E Balans VL '!E14)/100/3.6*1000000</f>
        <v>2.5752393282259201E-2</v>
      </c>
      <c r="K10" s="33"/>
      <c r="L10" s="33"/>
      <c r="M10" s="33"/>
      <c r="N10" s="33">
        <f>$C$30*'E Balans VL '!Y14/100/3.6*1000000</f>
        <v>1007.473579478935</v>
      </c>
      <c r="O10" s="33"/>
      <c r="P10" s="33"/>
      <c r="R10" s="32"/>
    </row>
    <row r="11" spans="1:18">
      <c r="A11" s="32" t="s">
        <v>55</v>
      </c>
      <c r="B11" s="37">
        <f t="shared" si="0"/>
        <v>74.254532299344888</v>
      </c>
      <c r="C11" s="33"/>
      <c r="D11" s="37">
        <f>IF(ISERROR(TER_onderwijs_gas_kWh/1000),0,TER_onderwijs_gas_kWh/1000)*0.902</f>
        <v>0</v>
      </c>
      <c r="E11" s="33">
        <f>$C$31*'E Balans VL '!I11/100/3.6*1000000</f>
        <v>1.1203812941002806</v>
      </c>
      <c r="F11" s="33">
        <f>$C$31*('E Balans VL '!L11+'E Balans VL '!N11)/100/3.6*1000000</f>
        <v>13.010580310289289</v>
      </c>
      <c r="G11" s="34"/>
      <c r="H11" s="33"/>
      <c r="I11" s="33"/>
      <c r="J11" s="33">
        <f>$C$31*('E Balans VL '!D11+'E Balans VL '!E11)/100/3.6*1000000</f>
        <v>0</v>
      </c>
      <c r="K11" s="33"/>
      <c r="L11" s="33"/>
      <c r="M11" s="33"/>
      <c r="N11" s="33">
        <f>$C$31*'E Balans VL '!Y11/100/3.6*1000000</f>
        <v>0.20895789893487579</v>
      </c>
      <c r="O11" s="33"/>
      <c r="P11" s="33"/>
      <c r="R11" s="32"/>
    </row>
    <row r="12" spans="1:18">
      <c r="A12" s="32" t="s">
        <v>260</v>
      </c>
      <c r="B12" s="37">
        <f t="shared" si="0"/>
        <v>2222.2891908239403</v>
      </c>
      <c r="C12" s="33"/>
      <c r="D12" s="37">
        <f>IF(ISERROR(TER_rest_gas_kWh/1000),0,TER_rest_gas_kWh/1000)*0.902</f>
        <v>3152.9036532790333</v>
      </c>
      <c r="E12" s="33">
        <f>$C$32*'E Balans VL '!I8/100/3.6*1000000</f>
        <v>27.596347977599343</v>
      </c>
      <c r="F12" s="33">
        <f>$C$32*('E Balans VL '!L8+'E Balans VL '!N8)/100/3.6*1000000</f>
        <v>384.28868559042218</v>
      </c>
      <c r="G12" s="34"/>
      <c r="H12" s="33"/>
      <c r="I12" s="33"/>
      <c r="J12" s="33">
        <f>$C$32*('E Balans VL '!D8+'E Balans VL '!E8)/100/3.6*1000000</f>
        <v>5.3813293584216342E-3</v>
      </c>
      <c r="K12" s="33"/>
      <c r="L12" s="33"/>
      <c r="M12" s="33"/>
      <c r="N12" s="33">
        <f>$C$32*'E Balans VL '!Y8/100/3.6*1000000</f>
        <v>215.18571706285925</v>
      </c>
      <c r="O12" s="33"/>
      <c r="P12" s="33"/>
      <c r="R12" s="32"/>
    </row>
    <row r="13" spans="1:18">
      <c r="A13" s="16" t="s">
        <v>488</v>
      </c>
      <c r="B13" s="247">
        <f ca="1">'lokale energieproductie'!N90+'lokale energieproductie'!N59</f>
        <v>270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-771.42857142857144</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6338.0156578913356</v>
      </c>
      <c r="C16" s="21">
        <f t="shared" ca="1" si="1"/>
        <v>0</v>
      </c>
      <c r="D16" s="21">
        <f t="shared" ca="1" si="1"/>
        <v>4616.5484723159461</v>
      </c>
      <c r="E16" s="21">
        <f t="shared" si="1"/>
        <v>73.937416809334934</v>
      </c>
      <c r="F16" s="21">
        <f t="shared" ca="1" si="1"/>
        <v>1120.3262604736974</v>
      </c>
      <c r="G16" s="21">
        <f t="shared" si="1"/>
        <v>0</v>
      </c>
      <c r="H16" s="21">
        <f t="shared" si="1"/>
        <v>0</v>
      </c>
      <c r="I16" s="21">
        <f t="shared" si="1"/>
        <v>0</v>
      </c>
      <c r="J16" s="21">
        <f t="shared" si="1"/>
        <v>3.1133722640680834E-2</v>
      </c>
      <c r="K16" s="21">
        <f t="shared" si="1"/>
        <v>0</v>
      </c>
      <c r="L16" s="21">
        <f t="shared" ca="1" si="1"/>
        <v>0</v>
      </c>
      <c r="M16" s="21">
        <f t="shared" si="1"/>
        <v>0</v>
      </c>
      <c r="N16" s="21">
        <f t="shared" ca="1" si="1"/>
        <v>455.64878727090934</v>
      </c>
      <c r="O16" s="21">
        <f>O5</f>
        <v>9.3800000000000008</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0.19771131804630243</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1253.0974295197987</v>
      </c>
      <c r="C20" s="23">
        <f t="shared" ref="C20:P20" ca="1" si="2">C16*C18</f>
        <v>0</v>
      </c>
      <c r="D20" s="23">
        <f t="shared" ca="1" si="2"/>
        <v>932.54279140782114</v>
      </c>
      <c r="E20" s="23">
        <f t="shared" si="2"/>
        <v>16.783793615719031</v>
      </c>
      <c r="F20" s="23">
        <f t="shared" ca="1" si="2"/>
        <v>299.12711154647724</v>
      </c>
      <c r="G20" s="23">
        <f t="shared" si="2"/>
        <v>0</v>
      </c>
      <c r="H20" s="23">
        <f t="shared" si="2"/>
        <v>0</v>
      </c>
      <c r="I20" s="23">
        <f t="shared" si="2"/>
        <v>0</v>
      </c>
      <c r="J20" s="23">
        <f t="shared" si="2"/>
        <v>1.1021337814801014E-2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853.94417558009002</v>
      </c>
      <c r="C26" s="39">
        <f>IF(ISERROR(B26*3.6/1000000/'E Balans VL '!Z12*100),0,B26*3.6/1000000/'E Balans VL '!Z12*100)</f>
        <v>1.8051027114919956E-2</v>
      </c>
      <c r="D26" s="237" t="s">
        <v>754</v>
      </c>
      <c r="F26" s="6"/>
    </row>
    <row r="27" spans="1:18">
      <c r="A27" s="231" t="s">
        <v>53</v>
      </c>
      <c r="B27" s="33">
        <f>IF(ISERROR(TER_horeca_ele_kWh/1000),0,TER_horeca_ele_kWh/1000)</f>
        <v>663.214038942098</v>
      </c>
      <c r="C27" s="39">
        <f>IF(ISERROR(B27*3.6/1000000/'E Balans VL '!Z9*100),0,B27*3.6/1000000/'E Balans VL '!Z9*100)</f>
        <v>5.2280915497313639E-2</v>
      </c>
      <c r="D27" s="237" t="s">
        <v>754</v>
      </c>
      <c r="F27" s="6"/>
    </row>
    <row r="28" spans="1:18">
      <c r="A28" s="171" t="s">
        <v>52</v>
      </c>
      <c r="B28" s="33">
        <f>IF(ISERROR(TER_handel_ele_kWh/1000),0,TER_handel_ele_kWh/1000)</f>
        <v>945.58909848976907</v>
      </c>
      <c r="C28" s="39">
        <f>IF(ISERROR(B28*3.6/1000000/'E Balans VL '!Z13*100),0,B28*3.6/1000000/'E Balans VL '!Z13*100)</f>
        <v>2.7444816246253452E-2</v>
      </c>
      <c r="D28" s="237" t="s">
        <v>754</v>
      </c>
      <c r="F28" s="6"/>
    </row>
    <row r="29" spans="1:18">
      <c r="A29" s="231" t="s">
        <v>51</v>
      </c>
      <c r="B29" s="33">
        <f>IF(ISERROR(TER_gezond_ele_kWh/1000),0,TER_gezond_ele_kWh/1000)</f>
        <v>122.310808029863</v>
      </c>
      <c r="C29" s="39">
        <f>IF(ISERROR(B29*3.6/1000000/'E Balans VL '!Z10*100),0,B29*3.6/1000000/'E Balans VL '!Z10*100)</f>
        <v>1.2881336482026327E-2</v>
      </c>
      <c r="D29" s="237" t="s">
        <v>754</v>
      </c>
      <c r="F29" s="6"/>
    </row>
    <row r="30" spans="1:18">
      <c r="A30" s="231" t="s">
        <v>50</v>
      </c>
      <c r="B30" s="33">
        <f>IF(ISERROR(TER_ander_ele_kWh/1000),0,TER_ander_ele_kWh/1000)</f>
        <v>1186.41381372623</v>
      </c>
      <c r="C30" s="39">
        <f>IF(ISERROR(B30*3.6/1000000/'E Balans VL '!Z14*100),0,B30*3.6/1000000/'E Balans VL '!Z14*100)</f>
        <v>8.751014058824523E-2</v>
      </c>
      <c r="D30" s="237" t="s">
        <v>754</v>
      </c>
      <c r="F30" s="6"/>
    </row>
    <row r="31" spans="1:18">
      <c r="A31" s="231" t="s">
        <v>55</v>
      </c>
      <c r="B31" s="33">
        <f>IF(ISERROR(TER_onderwijs_ele_kWh/1000),0,TER_onderwijs_ele_kWh/1000)</f>
        <v>74.254532299344888</v>
      </c>
      <c r="C31" s="39">
        <f>IF(ISERROR(B31*3.6/1000000/'E Balans VL '!Z11*100),0,B31*3.6/1000000/'E Balans VL '!Z11*100)</f>
        <v>1.8440878657063731E-2</v>
      </c>
      <c r="D31" s="237" t="s">
        <v>754</v>
      </c>
    </row>
    <row r="32" spans="1:18">
      <c r="A32" s="231" t="s">
        <v>260</v>
      </c>
      <c r="B32" s="33">
        <f>IF(ISERROR(TER_rest_ele_kWh/1000),0,TER_rest_ele_kWh/1000)</f>
        <v>2222.2891908239403</v>
      </c>
      <c r="C32" s="39">
        <f>IF(ISERROR(B32*3.6/1000000/'E Balans VL '!Z8*100),0,B32*3.6/1000000/'E Balans VL '!Z8*100)</f>
        <v>1.8286490251434053E-2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6</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0</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4" sqref="B54"/>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163</v>
      </c>
      <c r="B1" s="1126" t="s">
        <v>195</v>
      </c>
      <c r="C1" s="1127"/>
      <c r="D1" s="1127"/>
      <c r="E1" s="1127"/>
      <c r="F1" s="1127"/>
      <c r="G1" s="1127"/>
      <c r="H1" s="1127"/>
      <c r="I1" s="1127"/>
      <c r="J1" s="1127"/>
      <c r="K1" s="1127"/>
      <c r="L1" s="1127"/>
      <c r="M1" s="1127"/>
      <c r="N1" s="1127"/>
      <c r="O1" s="1127"/>
      <c r="P1" s="1127"/>
      <c r="R1" s="825"/>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c r="R2" s="825"/>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1508.4809738847873</v>
      </c>
      <c r="C5" s="17">
        <f>IF(ISERROR('Eigen informatie GS &amp; warmtenet'!B59),0,'Eigen informatie GS &amp; warmtenet'!B59)</f>
        <v>0</v>
      </c>
      <c r="D5" s="30">
        <f>SUM(D6:D15)</f>
        <v>513.87550940976712</v>
      </c>
      <c r="E5" s="17">
        <f>SUM(E6:E15)</f>
        <v>188.69186756967406</v>
      </c>
      <c r="F5" s="17">
        <f>SUM(F6:F15)</f>
        <v>568.06111295334665</v>
      </c>
      <c r="G5" s="18"/>
      <c r="H5" s="17"/>
      <c r="I5" s="17"/>
      <c r="J5" s="17">
        <f>SUM(J6:J15)</f>
        <v>3.3747049433600247</v>
      </c>
      <c r="K5" s="17"/>
      <c r="L5" s="17"/>
      <c r="M5" s="17"/>
      <c r="N5" s="17">
        <f>SUM(N6:N15)</f>
        <v>372.50482394102005</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466.72350011237501</v>
      </c>
      <c r="C9" s="33"/>
      <c r="D9" s="37">
        <f>IF( ISERROR(IND_andere_gas_kWh/1000),0,IND_andere_gas_kWh/1000)*0.902</f>
        <v>189.22641907986574</v>
      </c>
      <c r="E9" s="33">
        <f>C31*'E Balans VL '!I19/100/3.6*1000000</f>
        <v>136.43236511770277</v>
      </c>
      <c r="F9" s="33">
        <f>C31*'E Balans VL '!L19/100/3.6*1000000+C31*'E Balans VL '!N19/100/3.6*1000000</f>
        <v>375.04766006313139</v>
      </c>
      <c r="G9" s="34"/>
      <c r="H9" s="33"/>
      <c r="I9" s="33"/>
      <c r="J9" s="40">
        <f>C31*'E Balans VL '!D19/100/3.6*1000000+C31*'E Balans VL '!E19/100/3.6*1000000</f>
        <v>0</v>
      </c>
      <c r="K9" s="33"/>
      <c r="L9" s="33"/>
      <c r="M9" s="33"/>
      <c r="N9" s="33">
        <f>C31*'E Balans VL '!Y19/100/3.6*1000000</f>
        <v>154.21268280541469</v>
      </c>
      <c r="O9" s="33"/>
      <c r="P9" s="33"/>
      <c r="R9" s="32"/>
    </row>
    <row r="10" spans="1:18">
      <c r="A10" s="6" t="s">
        <v>41</v>
      </c>
      <c r="B10" s="37">
        <f t="shared" si="0"/>
        <v>99.097454601446202</v>
      </c>
      <c r="C10" s="33"/>
      <c r="D10" s="37">
        <f>IF( ISERROR(IND_voed_gas_kWh/1000),0,IND_voed_gas_kWh/1000)*0.902</f>
        <v>0</v>
      </c>
      <c r="E10" s="33">
        <f>C32*'E Balans VL '!I20/100/3.6*1000000</f>
        <v>0.20964220173359141</v>
      </c>
      <c r="F10" s="33">
        <f>C32*'E Balans VL '!L20/100/3.6*1000000+C32*'E Balans VL '!N20/100/3.6*1000000</f>
        <v>6.300717388641444</v>
      </c>
      <c r="G10" s="34"/>
      <c r="H10" s="33"/>
      <c r="I10" s="33"/>
      <c r="J10" s="40">
        <f>C32*'E Balans VL '!D20/100/3.6*1000000+C32*'E Balans VL '!E20/100/3.6*1000000</f>
        <v>0</v>
      </c>
      <c r="K10" s="33"/>
      <c r="L10" s="33"/>
      <c r="M10" s="33"/>
      <c r="N10" s="33">
        <f>C32*'E Balans VL '!Y20/100/3.6*1000000</f>
        <v>6.8387022850768009</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942.66001917096605</v>
      </c>
      <c r="C15" s="33"/>
      <c r="D15" s="37">
        <f>IF( ISERROR(IND_rest_gas_kWh/1000),0,IND_rest_gas_kWh/1000)*0.902</f>
        <v>324.64909032990141</v>
      </c>
      <c r="E15" s="33">
        <f>C37*'E Balans VL '!I15/100/3.6*1000000</f>
        <v>52.049860250237685</v>
      </c>
      <c r="F15" s="33">
        <f>C37*'E Balans VL '!L15/100/3.6*1000000+C37*'E Balans VL '!N15/100/3.6*1000000</f>
        <v>186.71273550157386</v>
      </c>
      <c r="G15" s="34"/>
      <c r="H15" s="33"/>
      <c r="I15" s="33"/>
      <c r="J15" s="40">
        <f>C37*'E Balans VL '!D15/100/3.6*1000000+C37*'E Balans VL '!E15/100/3.6*1000000</f>
        <v>3.3747049433600247</v>
      </c>
      <c r="K15" s="33"/>
      <c r="L15" s="33"/>
      <c r="M15" s="33"/>
      <c r="N15" s="33">
        <f>C37*'E Balans VL '!Y15/100/3.6*1000000</f>
        <v>211.45343885052856</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1508.4809738847873</v>
      </c>
      <c r="C18" s="21">
        <f>C5+C16</f>
        <v>0</v>
      </c>
      <c r="D18" s="21">
        <f>MAX((D5+D16),0)</f>
        <v>513.87550940976712</v>
      </c>
      <c r="E18" s="21">
        <f>MAX((E5+E16),0)</f>
        <v>188.69186756967406</v>
      </c>
      <c r="F18" s="21">
        <f>MAX((F5+F16),0)</f>
        <v>568.06111295334665</v>
      </c>
      <c r="G18" s="21"/>
      <c r="H18" s="21"/>
      <c r="I18" s="21"/>
      <c r="J18" s="21">
        <f>MAX((J5+J16),0)</f>
        <v>3.3747049433600247</v>
      </c>
      <c r="K18" s="21"/>
      <c r="L18" s="21">
        <f>MAX((L5+L16),0)</f>
        <v>0</v>
      </c>
      <c r="M18" s="21"/>
      <c r="N18" s="21">
        <f>MAX((N5+N16),0)</f>
        <v>372.50482394102005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0.19771131804630243</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298.24376159453124</v>
      </c>
      <c r="C22" s="23">
        <f ca="1">C18*C20</f>
        <v>0</v>
      </c>
      <c r="D22" s="23">
        <f>D18*D20</f>
        <v>103.80285290077296</v>
      </c>
      <c r="E22" s="23">
        <f>E18*E20</f>
        <v>42.833053938316013</v>
      </c>
      <c r="F22" s="23">
        <f>F18*F20</f>
        <v>151.67231715854356</v>
      </c>
      <c r="G22" s="23"/>
      <c r="H22" s="23"/>
      <c r="I22" s="23"/>
      <c r="J22" s="23">
        <f>J18*J20</f>
        <v>1.1946455499494486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0</v>
      </c>
      <c r="C30" s="39">
        <f>IF(ISERROR(B30*3.6/1000000/'E Balans VL '!Z18*100),0,B30*3.6/1000000/'E Balans VL '!Z18*100)</f>
        <v>0</v>
      </c>
      <c r="D30" s="237" t="s">
        <v>754</v>
      </c>
    </row>
    <row r="31" spans="1:18">
      <c r="A31" s="6" t="s">
        <v>33</v>
      </c>
      <c r="B31" s="37">
        <f>IF( ISERROR(IND_ander_ele_kWh/1000),0,IND_ander_ele_kWh/1000)</f>
        <v>466.72350011237501</v>
      </c>
      <c r="C31" s="39">
        <f>IF(ISERROR(B31*3.6/1000000/'E Balans VL '!Z19*100),0,B31*3.6/1000000/'E Balans VL '!Z19*100)</f>
        <v>2.1168634562267193E-2</v>
      </c>
      <c r="D31" s="237" t="s">
        <v>754</v>
      </c>
    </row>
    <row r="32" spans="1:18">
      <c r="A32" s="171" t="s">
        <v>41</v>
      </c>
      <c r="B32" s="37">
        <f>IF( ISERROR(IND_voed_ele_kWh/1000),0,IND_voed_ele_kWh/1000)</f>
        <v>99.097454601446202</v>
      </c>
      <c r="C32" s="39">
        <f>IF(ISERROR(B32*3.6/1000000/'E Balans VL '!Z20*100),0,B32*3.6/1000000/'E Balans VL '!Z20*100)</f>
        <v>3.0655341352820937E-3</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0</v>
      </c>
      <c r="C35" s="39">
        <f>IF(ISERROR(B35*3.6/1000000/'E Balans VL '!Z22*100),0,B35*3.6/1000000/'E Balans VL '!Z22*100)</f>
        <v>0</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942.66001917096605</v>
      </c>
      <c r="C37" s="39">
        <f>IF(ISERROR(B37*3.6/1000000/'E Balans VL '!Z15*100),0,B37*3.6/1000000/'E Balans VL '!Z15*100)</f>
        <v>7.4717383485359678E-3</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34" sqref="C3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271</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1000.112660579877</v>
      </c>
      <c r="C5" s="17">
        <f>'Eigen informatie GS &amp; warmtenet'!B60</f>
        <v>0</v>
      </c>
      <c r="D5" s="30">
        <f>IF(ISERROR(SUM(LB_lb_gas_kWh,LB_rest_gas_kWh,onbekend_gas_kWh)/1000),0,SUM(LB_lb_gas_kWh,LB_rest_gas_kWh,onbekend_gas_kWh)/1000)*0.902</f>
        <v>569.33521424423668</v>
      </c>
      <c r="E5" s="17">
        <f>B17*'E Balans VL '!I25/3.6*1000000/100</f>
        <v>29.396365791085653</v>
      </c>
      <c r="F5" s="17">
        <f>B17*('E Balans VL '!L25/3.6*1000000+'E Balans VL '!N25/3.6*1000000)/100</f>
        <v>4166.4153007241939</v>
      </c>
      <c r="G5" s="18"/>
      <c r="H5" s="17"/>
      <c r="I5" s="17"/>
      <c r="J5" s="17">
        <f>('E Balans VL '!D25+'E Balans VL '!E25)/3.6*1000000*landbouw!B17/100</f>
        <v>144.8948468527858</v>
      </c>
      <c r="K5" s="17"/>
      <c r="L5" s="17">
        <f>L6*(-1)</f>
        <v>0</v>
      </c>
      <c r="M5" s="17"/>
      <c r="N5" s="17">
        <f>N6*(-1)</f>
        <v>0</v>
      </c>
      <c r="O5" s="17"/>
      <c r="P5" s="17"/>
      <c r="R5" s="32"/>
    </row>
    <row r="6" spans="1:18">
      <c r="A6" s="16" t="s">
        <v>488</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1000.112660579877</v>
      </c>
      <c r="C8" s="21">
        <f>C5+C6</f>
        <v>0</v>
      </c>
      <c r="D8" s="21">
        <f>MAX((D5+D6),0)</f>
        <v>569.33521424423668</v>
      </c>
      <c r="E8" s="21">
        <f>MAX((E5+E6),0)</f>
        <v>29.396365791085653</v>
      </c>
      <c r="F8" s="21">
        <f>MAX((F5+F6),0)</f>
        <v>4166.4153007241939</v>
      </c>
      <c r="G8" s="21"/>
      <c r="H8" s="21"/>
      <c r="I8" s="21"/>
      <c r="J8" s="21">
        <f>MAX((J5+J6),0)</f>
        <v>144.8948468527858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0.19771131804630243</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197.73359231804179</v>
      </c>
      <c r="C12" s="23">
        <f ca="1">C8*C10</f>
        <v>0</v>
      </c>
      <c r="D12" s="23">
        <f>D8*D10</f>
        <v>115.00571327733581</v>
      </c>
      <c r="E12" s="23">
        <f>E8*E10</f>
        <v>6.6729750345764431</v>
      </c>
      <c r="F12" s="23">
        <f>F8*F10</f>
        <v>1112.4328852933597</v>
      </c>
      <c r="G12" s="23"/>
      <c r="H12" s="23"/>
      <c r="I12" s="23"/>
      <c r="J12" s="23">
        <f>J8*J10</f>
        <v>51.292775785886171</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0.14191912429406525</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33" t="s">
        <v>303</v>
      </c>
      <c r="B22" s="1136" t="s">
        <v>304</v>
      </c>
      <c r="C22" s="1136" t="s">
        <v>493</v>
      </c>
    </row>
    <row r="23" spans="1:4">
      <c r="A23" s="1134"/>
      <c r="B23" s="1137"/>
      <c r="C23" s="1137"/>
    </row>
    <row r="24" spans="1:4" ht="15.75" thickBot="1">
      <c r="A24" s="1135"/>
      <c r="B24" s="1138"/>
      <c r="C24" s="1138"/>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183.34854420016427</v>
      </c>
      <c r="C26" s="247">
        <f>B26*'GWP N2O_CH4'!B5</f>
        <v>3850.3194282034497</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48.329587405950157</v>
      </c>
      <c r="C27" s="247">
        <f>B27*'GWP N2O_CH4'!B5</f>
        <v>1014.9213355249533</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2.3245028853037626</v>
      </c>
      <c r="C28" s="247">
        <f>B28*'GWP N2O_CH4'!B4</f>
        <v>720.59589444416645</v>
      </c>
      <c r="D28" s="50"/>
    </row>
    <row r="29" spans="1:4">
      <c r="A29" s="41" t="s">
        <v>277</v>
      </c>
      <c r="B29" s="247">
        <f>B34*'ha_N2O bodem landbouw'!B4</f>
        <v>13.513851654108084</v>
      </c>
      <c r="C29" s="247">
        <f>B29*'GWP N2O_CH4'!B4</f>
        <v>4189.2940127735064</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3.0838143766628657E-3</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4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25" t="s">
        <v>497</v>
      </c>
      <c r="B1" s="1126" t="s">
        <v>546</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9.2142089751366237E-5</v>
      </c>
      <c r="C5" s="463" t="s">
        <v>211</v>
      </c>
      <c r="D5" s="448">
        <f>SUM(D6:D11)</f>
        <v>3.2302717242551672E-4</v>
      </c>
      <c r="E5" s="448">
        <f>SUM(E6:E11)</f>
        <v>4.3053941452649523E-4</v>
      </c>
      <c r="F5" s="461" t="s">
        <v>211</v>
      </c>
      <c r="G5" s="448">
        <f>SUM(G6:G11)</f>
        <v>0.1524078812439062</v>
      </c>
      <c r="H5" s="448">
        <f>SUM(H6:H11)</f>
        <v>3.6405241611980728E-2</v>
      </c>
      <c r="I5" s="463" t="s">
        <v>211</v>
      </c>
      <c r="J5" s="463" t="s">
        <v>211</v>
      </c>
      <c r="K5" s="463" t="s">
        <v>211</v>
      </c>
      <c r="L5" s="463" t="s">
        <v>211</v>
      </c>
      <c r="M5" s="448">
        <f>SUM(M6:M11)</f>
        <v>9.9849831553923407E-3</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7.2149783256813226E-5</v>
      </c>
      <c r="C6" s="449"/>
      <c r="D6" s="962">
        <f>vkm_2011_GW_PW*SUMIFS(TableVerdeelsleutelVkm[CNG],TableVerdeelsleutelVkm[Voertuigtype],"Lichte voertuigen")*SUMIFS(TableECFTransport[EnergieConsumptieFactor (PJ per km)],TableECFTransport[Index],CONCATENATE($A6,"_CNG_CNG"))</f>
        <v>2.1640793956156375E-4</v>
      </c>
      <c r="E6" s="962">
        <f>vkm_2011_GW_PW*SUMIFS(TableVerdeelsleutelVkm[LPG],TableVerdeelsleutelVkm[Voertuigtype],"Lichte voertuigen")*SUMIFS(TableECFTransport[EnergieConsumptieFactor (PJ per km)],TableECFTransport[Index],CONCATENATE($A6,"_LPG_LPG"))</f>
        <v>2.9564433090965213E-4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7.6440071426464154E-2</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2.4609607890741691E-2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5.1963846977218647E-3</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4.0267277704494668E-2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1.2270501445522191E-5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2.3530860015305464E-3</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1.9992306494553012E-5</v>
      </c>
      <c r="C8" s="449"/>
      <c r="D8" s="451">
        <f>vkm_2011_NGW_PW*SUMIFS(TableVerdeelsleutelVkm[CNG],TableVerdeelsleutelVkm[Voertuigtype],"Lichte voertuigen")*SUMIFS(TableECFTransport[EnergieConsumptieFactor (PJ per km)],TableECFTransport[Index],CONCATENATE($A8,"_CNG_CNG"))</f>
        <v>1.0661923286395295E-4</v>
      </c>
      <c r="E8" s="451">
        <f>vkm_2011_NGW_PW*SUMIFS(TableVerdeelsleutelVkm[LPG],TableVerdeelsleutelVkm[Voertuigtype],"Lichte voertuigen")*SUMIFS(TableECFTransport[EnergieConsumptieFactor (PJ per km)],TableECFTransport[Index],CONCATENATE($A8,"_LPG_LPG"))</f>
        <v>1.3489508361684308E-4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3.2502312001663473E-2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1.1782445735067849E-2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2.2486207866159141E-3</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3.1982201112838991E-3</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9.1748472566247015E-7</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1.8689166952401577E-4</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25.595024930935065</v>
      </c>
      <c r="C14" s="21"/>
      <c r="D14" s="21">
        <f t="shared" ref="D14:M14" si="0">((D5)*10^9/3600)+D12</f>
        <v>89.729770118199085</v>
      </c>
      <c r="E14" s="21">
        <f t="shared" si="0"/>
        <v>119.59428181291534</v>
      </c>
      <c r="F14" s="21"/>
      <c r="G14" s="21">
        <f t="shared" si="0"/>
        <v>42335.522567751723</v>
      </c>
      <c r="H14" s="21">
        <f t="shared" si="0"/>
        <v>10112.567114439091</v>
      </c>
      <c r="I14" s="21"/>
      <c r="J14" s="21"/>
      <c r="K14" s="21"/>
      <c r="L14" s="21"/>
      <c r="M14" s="21">
        <f t="shared" si="0"/>
        <v>2773.6064320534283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0.19771131804630243</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5.0604261145231426</v>
      </c>
      <c r="C18" s="23"/>
      <c r="D18" s="23">
        <f t="shared" ref="D18:M18" si="1">D14*D16</f>
        <v>18.125413563876215</v>
      </c>
      <c r="E18" s="23">
        <f t="shared" si="1"/>
        <v>27.147901971531784</v>
      </c>
      <c r="F18" s="23"/>
      <c r="G18" s="23">
        <f t="shared" si="1"/>
        <v>11303.584525589711</v>
      </c>
      <c r="H18" s="23">
        <f t="shared" si="1"/>
        <v>2518.0292114953336</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2013</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2013</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39" t="s">
        <v>498</v>
      </c>
      <c r="B46" s="1140" t="s">
        <v>545</v>
      </c>
      <c r="C46" s="1141"/>
      <c r="D46" s="1141"/>
      <c r="E46" s="1141"/>
      <c r="F46" s="1141"/>
      <c r="G46" s="1141"/>
      <c r="H46" s="1141"/>
      <c r="I46" s="1141"/>
      <c r="J46" s="1141"/>
      <c r="K46" s="1141"/>
      <c r="L46" s="1141"/>
      <c r="M46" s="1141"/>
      <c r="N46" s="1141"/>
      <c r="O46" s="1141"/>
      <c r="P46" s="1141"/>
    </row>
    <row r="47" spans="1:16" s="15" customFormat="1" ht="15.75" thickTop="1">
      <c r="A47" s="1139"/>
      <c r="B47" s="1142" t="s">
        <v>21</v>
      </c>
      <c r="C47" s="1142" t="s">
        <v>196</v>
      </c>
      <c r="D47" s="1144" t="s">
        <v>197</v>
      </c>
      <c r="E47" s="1145"/>
      <c r="F47" s="1145"/>
      <c r="G47" s="1145"/>
      <c r="H47" s="1145"/>
      <c r="I47" s="1145"/>
      <c r="J47" s="1145"/>
      <c r="K47" s="1146"/>
      <c r="L47" s="1144" t="s">
        <v>198</v>
      </c>
      <c r="M47" s="1145"/>
      <c r="N47" s="1145"/>
      <c r="O47" s="1145"/>
      <c r="P47" s="1146"/>
    </row>
    <row r="48" spans="1:16" s="15" customFormat="1" ht="45">
      <c r="A48" s="1139"/>
      <c r="B48" s="1143"/>
      <c r="C48" s="114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2.6393303777735794E-3</v>
      </c>
      <c r="H50" s="321">
        <f t="shared" si="2"/>
        <v>0</v>
      </c>
      <c r="I50" s="321">
        <f t="shared" si="2"/>
        <v>0</v>
      </c>
      <c r="J50" s="321">
        <f t="shared" si="2"/>
        <v>0</v>
      </c>
      <c r="K50" s="321">
        <f t="shared" si="2"/>
        <v>0</v>
      </c>
      <c r="L50" s="321">
        <f t="shared" si="2"/>
        <v>0</v>
      </c>
      <c r="M50" s="321">
        <f t="shared" si="2"/>
        <v>1.4990231393198253E-4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2.6393303777735794E-3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1.4990231393198253E-4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733.14732715932757</v>
      </c>
      <c r="H54" s="21">
        <f t="shared" si="3"/>
        <v>0</v>
      </c>
      <c r="I54" s="21">
        <f t="shared" si="3"/>
        <v>0</v>
      </c>
      <c r="J54" s="21">
        <f t="shared" si="3"/>
        <v>0</v>
      </c>
      <c r="K54" s="21">
        <f t="shared" si="3"/>
        <v>0</v>
      </c>
      <c r="L54" s="21">
        <f t="shared" si="3"/>
        <v>0</v>
      </c>
      <c r="M54" s="21">
        <f t="shared" si="3"/>
        <v>41.639531647772927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0.19771131804630243</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195.75033635154048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2013</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3"/>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171" t="s">
        <v>241</v>
      </c>
      <c r="B1" s="1171" t="s">
        <v>242</v>
      </c>
      <c r="C1" s="1174" t="s">
        <v>243</v>
      </c>
      <c r="D1" s="1175"/>
      <c r="E1" s="1175"/>
      <c r="F1" s="1175"/>
      <c r="G1" s="1175"/>
      <c r="H1" s="1175"/>
      <c r="I1" s="1175"/>
      <c r="J1" s="1175"/>
      <c r="K1" s="1175"/>
      <c r="L1" s="1176"/>
      <c r="M1" s="1160" t="s">
        <v>244</v>
      </c>
      <c r="N1" s="1159" t="s">
        <v>547</v>
      </c>
      <c r="O1" s="1160"/>
      <c r="Q1" s="1158"/>
      <c r="R1" s="1158"/>
      <c r="S1" s="1158"/>
    </row>
    <row r="2" spans="1:19" s="563" customFormat="1" ht="15.75" thickBot="1">
      <c r="A2" s="1172"/>
      <c r="B2" s="1172"/>
      <c r="C2" s="1195" t="s">
        <v>197</v>
      </c>
      <c r="D2" s="1196"/>
      <c r="E2" s="1196"/>
      <c r="F2" s="1196"/>
      <c r="G2" s="1197"/>
      <c r="H2" s="1198" t="s">
        <v>245</v>
      </c>
      <c r="I2" s="1184" t="s">
        <v>246</v>
      </c>
      <c r="J2" s="1184" t="s">
        <v>234</v>
      </c>
      <c r="K2" s="1184" t="s">
        <v>247</v>
      </c>
      <c r="L2" s="1186" t="s">
        <v>127</v>
      </c>
      <c r="M2" s="1162"/>
      <c r="N2" s="1161"/>
      <c r="O2" s="1162"/>
      <c r="Q2" s="1158"/>
      <c r="R2" s="1158"/>
      <c r="S2" s="1158"/>
    </row>
    <row r="3" spans="1:19" s="563" customFormat="1" ht="53.45" customHeight="1" thickBot="1">
      <c r="A3" s="1173"/>
      <c r="B3" s="1163"/>
      <c r="C3" s="564" t="s">
        <v>199</v>
      </c>
      <c r="D3" s="565" t="s">
        <v>200</v>
      </c>
      <c r="E3" s="566" t="s">
        <v>201</v>
      </c>
      <c r="F3" s="567" t="s">
        <v>203</v>
      </c>
      <c r="G3" s="568" t="s">
        <v>204</v>
      </c>
      <c r="H3" s="1181"/>
      <c r="I3" s="1185"/>
      <c r="J3" s="1185"/>
      <c r="K3" s="1185"/>
      <c r="L3" s="1194"/>
      <c r="M3" s="1164"/>
      <c r="N3" s="1163"/>
      <c r="O3" s="1164"/>
      <c r="Q3" s="1158"/>
      <c r="R3" s="1158"/>
      <c r="S3" s="1158"/>
    </row>
    <row r="4" spans="1:19" s="563" customFormat="1" ht="15.75" thickTop="1">
      <c r="A4" s="569" t="s">
        <v>249</v>
      </c>
      <c r="B4" s="570">
        <f>IF(ISERROR(kWh_wind_land),0,kWh_wind_land)</f>
        <v>0</v>
      </c>
      <c r="C4" s="1202"/>
      <c r="D4" s="1190"/>
      <c r="E4" s="1190"/>
      <c r="F4" s="1205"/>
      <c r="G4" s="1208"/>
      <c r="H4" s="1199"/>
      <c r="I4" s="1190"/>
      <c r="J4" s="1190"/>
      <c r="K4" s="571"/>
      <c r="L4" s="1191"/>
      <c r="M4" s="572"/>
      <c r="N4" s="1165"/>
      <c r="O4" s="1166"/>
      <c r="Q4" s="573"/>
      <c r="R4" s="1155"/>
      <c r="S4" s="1155"/>
    </row>
    <row r="5" spans="1:19" s="563" customFormat="1">
      <c r="A5" s="574" t="s">
        <v>250</v>
      </c>
      <c r="B5" s="570">
        <f>IF(ISERROR(kWh_waterkracht),0,kWh_waterkracht)</f>
        <v>17.590620040955631</v>
      </c>
      <c r="C5" s="1203"/>
      <c r="D5" s="1188"/>
      <c r="E5" s="1188"/>
      <c r="F5" s="1206"/>
      <c r="G5" s="1209"/>
      <c r="H5" s="1200"/>
      <c r="I5" s="1188"/>
      <c r="J5" s="1188"/>
      <c r="K5" s="1188"/>
      <c r="L5" s="1192"/>
      <c r="M5" s="575"/>
      <c r="N5" s="1167"/>
      <c r="O5" s="1168"/>
      <c r="Q5" s="573"/>
      <c r="R5" s="1155"/>
      <c r="S5" s="1155"/>
    </row>
    <row r="6" spans="1:19" s="563" customFormat="1">
      <c r="A6" s="574" t="s">
        <v>251</v>
      </c>
      <c r="B6" s="570">
        <f>IF(ISERROR((kWh_PV_kleiner_dan_10kW+kWh_PV_groter_dan_10kW)),0,(kWh_PV_kleiner_dan_10kW+kWh_PV_groter_dan_10kW))</f>
        <v>2336.846638626701</v>
      </c>
      <c r="C6" s="1204"/>
      <c r="D6" s="1189"/>
      <c r="E6" s="1189"/>
      <c r="F6" s="1207"/>
      <c r="G6" s="1210"/>
      <c r="H6" s="1201"/>
      <c r="I6" s="1189"/>
      <c r="J6" s="1189"/>
      <c r="K6" s="1189"/>
      <c r="L6" s="1193"/>
      <c r="M6" s="575"/>
      <c r="N6" s="1167"/>
      <c r="O6" s="1168"/>
      <c r="Q6" s="573"/>
      <c r="R6" s="1155"/>
      <c r="S6" s="1155"/>
    </row>
    <row r="7" spans="1:19" s="563" customFormat="1">
      <c r="A7" s="576" t="s">
        <v>252</v>
      </c>
      <c r="B7" s="577">
        <f>N57</f>
        <v>0</v>
      </c>
      <c r="C7" s="578">
        <f>B100</f>
        <v>0</v>
      </c>
      <c r="D7" s="579"/>
      <c r="E7" s="579">
        <f>E100</f>
        <v>0</v>
      </c>
      <c r="F7" s="580"/>
      <c r="G7" s="581"/>
      <c r="H7" s="579">
        <f>I100</f>
        <v>0</v>
      </c>
      <c r="I7" s="579">
        <f>G100+F100</f>
        <v>0</v>
      </c>
      <c r="J7" s="579">
        <f>H100+D100+C100</f>
        <v>0</v>
      </c>
      <c r="K7" s="579"/>
      <c r="L7" s="582"/>
      <c r="M7" s="583">
        <f>C7*$C$11+D7*$D$11+E7*$E$11+F7*$F$11+G7*$G$11+H7*$H$11+I7*$I$11+J7*$J$11</f>
        <v>0</v>
      </c>
      <c r="N7" s="1167"/>
      <c r="O7" s="1168"/>
      <c r="Q7" s="573"/>
      <c r="R7" s="1155"/>
      <c r="S7" s="1155"/>
    </row>
    <row r="8" spans="1:19" s="563" customFormat="1" ht="17.45" customHeight="1" thickBot="1">
      <c r="A8" s="584" t="s">
        <v>248</v>
      </c>
      <c r="B8" s="585">
        <f>N88+'Eigen informatie GS &amp; warmtenet'!B12</f>
        <v>270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771.42857142857144</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169"/>
      <c r="O8" s="1170"/>
      <c r="P8" s="591"/>
      <c r="Q8" s="573"/>
      <c r="R8" s="1155"/>
      <c r="S8" s="1155"/>
    </row>
    <row r="9" spans="1:19" s="563" customFormat="1" ht="16.5" thickTop="1" thickBot="1">
      <c r="A9" s="592" t="s">
        <v>116</v>
      </c>
      <c r="B9" s="593">
        <f>SUM(B4:B8)</f>
        <v>2624.4372586676568</v>
      </c>
      <c r="C9" s="594">
        <f t="shared" ref="C9:L9" si="0">SUM(C7:C8)</f>
        <v>0</v>
      </c>
      <c r="D9" s="594">
        <f t="shared" si="0"/>
        <v>0</v>
      </c>
      <c r="E9" s="594">
        <f t="shared" si="0"/>
        <v>0</v>
      </c>
      <c r="F9" s="594">
        <f t="shared" si="0"/>
        <v>0</v>
      </c>
      <c r="G9" s="594">
        <f t="shared" si="0"/>
        <v>0</v>
      </c>
      <c r="H9" s="594">
        <f t="shared" si="0"/>
        <v>0</v>
      </c>
      <c r="I9" s="594">
        <f t="shared" si="0"/>
        <v>0</v>
      </c>
      <c r="J9" s="594">
        <f t="shared" si="0"/>
        <v>771.42857142857144</v>
      </c>
      <c r="K9" s="594">
        <f t="shared" si="0"/>
        <v>0</v>
      </c>
      <c r="L9" s="594">
        <f t="shared" si="0"/>
        <v>0</v>
      </c>
      <c r="M9" s="595">
        <f>SUM(M4:M8)</f>
        <v>0</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171" t="s">
        <v>253</v>
      </c>
      <c r="B13" s="1171" t="s">
        <v>254</v>
      </c>
      <c r="C13" s="1174" t="s">
        <v>255</v>
      </c>
      <c r="D13" s="1175"/>
      <c r="E13" s="1175"/>
      <c r="F13" s="1175"/>
      <c r="G13" s="1175"/>
      <c r="H13" s="1175"/>
      <c r="I13" s="1175"/>
      <c r="J13" s="1175"/>
      <c r="K13" s="1175"/>
      <c r="L13" s="1176"/>
      <c r="M13" s="1160" t="s">
        <v>244</v>
      </c>
      <c r="N13" s="1159" t="s">
        <v>256</v>
      </c>
      <c r="O13" s="1160"/>
      <c r="P13" s="1158"/>
      <c r="Q13" s="1158"/>
      <c r="R13" s="1158"/>
    </row>
    <row r="14" spans="1:19" s="563" customFormat="1" ht="15.75" thickBot="1">
      <c r="A14" s="1172"/>
      <c r="B14" s="1172"/>
      <c r="C14" s="1177" t="s">
        <v>197</v>
      </c>
      <c r="D14" s="1178"/>
      <c r="E14" s="1178"/>
      <c r="F14" s="1178"/>
      <c r="G14" s="1179"/>
      <c r="H14" s="1180" t="s">
        <v>245</v>
      </c>
      <c r="I14" s="1180" t="s">
        <v>246</v>
      </c>
      <c r="J14" s="1182" t="s">
        <v>234</v>
      </c>
      <c r="K14" s="1184" t="s">
        <v>257</v>
      </c>
      <c r="L14" s="1186" t="s">
        <v>127</v>
      </c>
      <c r="M14" s="1162"/>
      <c r="N14" s="1161"/>
      <c r="O14" s="1162"/>
      <c r="P14" s="1158"/>
      <c r="Q14" s="1158"/>
      <c r="R14" s="1158"/>
    </row>
    <row r="15" spans="1:19" s="563" customFormat="1" ht="40.700000000000003" customHeight="1" thickBot="1">
      <c r="A15" s="1173"/>
      <c r="B15" s="1173"/>
      <c r="C15" s="605" t="s">
        <v>199</v>
      </c>
      <c r="D15" s="565" t="s">
        <v>200</v>
      </c>
      <c r="E15" s="606" t="s">
        <v>201</v>
      </c>
      <c r="F15" s="565" t="s">
        <v>203</v>
      </c>
      <c r="G15" s="607" t="s">
        <v>204</v>
      </c>
      <c r="H15" s="1181"/>
      <c r="I15" s="1181"/>
      <c r="J15" s="1183"/>
      <c r="K15" s="1185"/>
      <c r="L15" s="1187"/>
      <c r="M15" s="1164"/>
      <c r="N15" s="1163"/>
      <c r="O15" s="1164"/>
      <c r="P15" s="1158"/>
      <c r="Q15" s="1158"/>
      <c r="R15" s="1158"/>
    </row>
    <row r="16" spans="1:19" s="563" customFormat="1" ht="15.75" thickTop="1">
      <c r="A16" s="608" t="s">
        <v>252</v>
      </c>
      <c r="B16" s="609">
        <f>O57</f>
        <v>0</v>
      </c>
      <c r="C16" s="610">
        <f>B101</f>
        <v>0</v>
      </c>
      <c r="D16" s="611"/>
      <c r="E16" s="611">
        <f>E101</f>
        <v>0</v>
      </c>
      <c r="F16" s="612"/>
      <c r="G16" s="613"/>
      <c r="H16" s="610">
        <f>I101</f>
        <v>0</v>
      </c>
      <c r="I16" s="611">
        <f>G101+F101</f>
        <v>0</v>
      </c>
      <c r="J16" s="611">
        <f>H101+D101+C101</f>
        <v>0</v>
      </c>
      <c r="K16" s="611"/>
      <c r="L16" s="614"/>
      <c r="M16" s="615">
        <f>C16*$C$21+E16*$E$21+H16*$H$21+I16*$I$21+J16*$J$21+D16*$D$21+F16*$F$21+G16*$G$21+K16*$K$21+L16*$L$21</f>
        <v>0</v>
      </c>
      <c r="N16" s="1150"/>
      <c r="O16" s="1151"/>
      <c r="P16" s="616"/>
      <c r="Q16" s="1152"/>
      <c r="R16" s="1152"/>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153"/>
      <c r="O17" s="1154"/>
      <c r="P17" s="573"/>
      <c r="Q17" s="1155"/>
      <c r="R17" s="1155"/>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156"/>
      <c r="O18" s="1157"/>
      <c r="P18" s="573"/>
      <c r="Q18" s="1155"/>
      <c r="R18" s="1155"/>
    </row>
    <row r="19" spans="1:26" s="563" customFormat="1" ht="16.5" thickTop="1" thickBot="1">
      <c r="A19" s="592" t="s">
        <v>116</v>
      </c>
      <c r="B19" s="593">
        <f>SUM(B16:B18)</f>
        <v>0</v>
      </c>
      <c r="C19" s="593">
        <f>SUM(C16:C18)</f>
        <v>0</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0</v>
      </c>
      <c r="N19" s="1147"/>
      <c r="O19" s="1148"/>
      <c r="P19" s="573"/>
      <c r="Q19" s="1149"/>
      <c r="R19" s="1149"/>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12.75">
      <c r="A27" s="624"/>
      <c r="B27" s="851"/>
      <c r="C27" s="851"/>
      <c r="D27" s="672"/>
      <c r="E27" s="671"/>
      <c r="F27" s="671"/>
      <c r="G27" s="671"/>
      <c r="H27" s="671"/>
      <c r="I27" s="671"/>
      <c r="J27" s="850"/>
      <c r="K27" s="850"/>
      <c r="L27" s="671"/>
      <c r="M27" s="671"/>
      <c r="N27" s="671"/>
      <c r="O27" s="671"/>
      <c r="P27" s="671"/>
      <c r="Q27" s="671"/>
      <c r="R27" s="671"/>
      <c r="S27" s="671"/>
      <c r="T27" s="671"/>
      <c r="U27" s="671"/>
      <c r="V27" s="671"/>
      <c r="W27" s="671"/>
      <c r="X27" s="671"/>
      <c r="Y27" s="671"/>
      <c r="Z27" s="673"/>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0</v>
      </c>
      <c r="N57" s="629">
        <f>SUM(N27:N56)</f>
        <v>0</v>
      </c>
      <c r="O57" s="629">
        <f t="shared" ref="O57:W57" si="2">SUM(O27:O56)</f>
        <v>0</v>
      </c>
      <c r="P57" s="629">
        <f t="shared" si="2"/>
        <v>0</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0</v>
      </c>
      <c r="N60" s="634">
        <f t="shared" ref="N60:W60" si="4">SUMIF($Z$27:$Z$56,"landbouw",N27:N56)</f>
        <v>0</v>
      </c>
      <c r="O60" s="634">
        <f t="shared" si="4"/>
        <v>0</v>
      </c>
      <c r="P60" s="634">
        <f t="shared" si="4"/>
        <v>0</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63.75">
      <c r="A63" s="626"/>
      <c r="B63" s="851">
        <v>45065</v>
      </c>
      <c r="C63" s="851">
        <v>9630</v>
      </c>
      <c r="D63" s="674" t="s">
        <v>809</v>
      </c>
      <c r="E63" s="674" t="s">
        <v>810</v>
      </c>
      <c r="F63" s="674" t="s">
        <v>811</v>
      </c>
      <c r="G63" s="674" t="s">
        <v>812</v>
      </c>
      <c r="H63" s="674" t="s">
        <v>813</v>
      </c>
      <c r="I63" s="674" t="s">
        <v>814</v>
      </c>
      <c r="J63" s="850">
        <v>39937</v>
      </c>
      <c r="K63" s="850">
        <v>39937</v>
      </c>
      <c r="L63" s="674" t="s">
        <v>815</v>
      </c>
      <c r="M63" s="674">
        <v>60</v>
      </c>
      <c r="N63" s="674">
        <v>270</v>
      </c>
      <c r="O63" s="674">
        <v>0</v>
      </c>
      <c r="P63" s="674">
        <v>0</v>
      </c>
      <c r="Q63" s="674">
        <v>771.42857142857144</v>
      </c>
      <c r="R63" s="674">
        <v>0</v>
      </c>
      <c r="S63" s="674">
        <v>0</v>
      </c>
      <c r="T63" s="674">
        <v>0</v>
      </c>
      <c r="U63" s="674">
        <v>0</v>
      </c>
      <c r="V63" s="674">
        <v>0</v>
      </c>
      <c r="W63" s="674">
        <v>0</v>
      </c>
      <c r="X63" s="674">
        <v>1600</v>
      </c>
      <c r="Y63" s="674" t="s">
        <v>50</v>
      </c>
      <c r="Z63" s="675" t="s">
        <v>156</v>
      </c>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60</v>
      </c>
      <c r="N88" s="629">
        <f t="shared" ref="N88:W88" si="5">SUM(N63:N87)</f>
        <v>270</v>
      </c>
      <c r="O88" s="629">
        <f t="shared" si="5"/>
        <v>0</v>
      </c>
      <c r="P88" s="629">
        <f t="shared" si="5"/>
        <v>0</v>
      </c>
      <c r="Q88" s="629">
        <f t="shared" si="5"/>
        <v>771.42857142857144</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60</v>
      </c>
      <c r="N90" s="629">
        <f t="shared" ref="N90:W90" si="7">SUMIF($Z$63:$Z$88,"tertiair",N63:N88)</f>
        <v>270</v>
      </c>
      <c r="O90" s="629">
        <f t="shared" si="7"/>
        <v>0</v>
      </c>
      <c r="P90" s="629">
        <f t="shared" si="7"/>
        <v>0</v>
      </c>
      <c r="Q90" s="629">
        <f t="shared" si="7"/>
        <v>771.42857142857144</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v>
      </c>
      <c r="C97" s="654">
        <f>IF(ISERROR(N57/(O57+N57)),0,N57/(N57+O57))</f>
        <v>0</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0</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0</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3"/>
      <c r="B4" s="473"/>
      <c r="C4" s="63"/>
      <c r="D4" s="63"/>
      <c r="E4" s="63"/>
      <c r="F4" s="63"/>
      <c r="G4" s="63"/>
      <c r="H4" s="63"/>
      <c r="I4" s="63"/>
      <c r="J4" s="63"/>
      <c r="K4" s="63"/>
      <c r="L4" s="63"/>
      <c r="M4" s="63"/>
      <c r="N4" s="63"/>
      <c r="O4" s="63"/>
      <c r="P4" s="63"/>
      <c r="Q4" s="63"/>
      <c r="R4" s="63"/>
    </row>
    <row r="5" spans="1:19" ht="16.5" thickBot="1">
      <c r="A5" s="1084" t="s">
        <v>222</v>
      </c>
      <c r="B5" s="860"/>
      <c r="C5" s="1087" t="s">
        <v>343</v>
      </c>
      <c r="D5" s="1088"/>
      <c r="E5" s="1088"/>
      <c r="F5" s="1088"/>
      <c r="G5" s="1088"/>
      <c r="H5" s="1088"/>
      <c r="I5" s="1088"/>
      <c r="J5" s="1088"/>
      <c r="K5" s="1088"/>
      <c r="L5" s="1088"/>
      <c r="M5" s="1088"/>
      <c r="N5" s="1088"/>
      <c r="O5" s="1088"/>
      <c r="P5" s="1088"/>
      <c r="Q5" s="1088"/>
      <c r="R5" s="1089"/>
    </row>
    <row r="6" spans="1:19" ht="16.5" thickTop="1">
      <c r="A6" s="1085"/>
      <c r="B6" s="861"/>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2"/>
      <c r="C7" s="1091"/>
      <c r="D7" s="109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098"/>
    </row>
    <row r="8" spans="1:19" ht="18.75" customHeight="1" thickTop="1">
      <c r="A8" s="869" t="s">
        <v>344</v>
      </c>
      <c r="B8" s="874"/>
      <c r="C8" s="1069"/>
      <c r="D8" s="1069"/>
      <c r="E8" s="1069"/>
      <c r="F8" s="1069"/>
      <c r="G8" s="1069"/>
      <c r="H8" s="1069"/>
      <c r="I8" s="1069"/>
      <c r="J8" s="1069"/>
      <c r="K8" s="1069"/>
      <c r="L8" s="1069"/>
      <c r="M8" s="1069"/>
      <c r="N8" s="1069"/>
      <c r="O8" s="1069"/>
      <c r="P8" s="1069"/>
      <c r="Q8" s="106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6895.249657891336</v>
      </c>
      <c r="D10" s="718">
        <f ca="1">tertiair!C16</f>
        <v>0</v>
      </c>
      <c r="E10" s="718">
        <f ca="1">tertiair!D16</f>
        <v>4616.5484723159461</v>
      </c>
      <c r="F10" s="718">
        <f>tertiair!E16</f>
        <v>73.937416809334934</v>
      </c>
      <c r="G10" s="718">
        <f ca="1">tertiair!F16</f>
        <v>1120.3262604736974</v>
      </c>
      <c r="H10" s="718">
        <f>tertiair!G16</f>
        <v>0</v>
      </c>
      <c r="I10" s="718">
        <f>tertiair!H16</f>
        <v>0</v>
      </c>
      <c r="J10" s="718">
        <f>tertiair!I16</f>
        <v>0</v>
      </c>
      <c r="K10" s="718">
        <f>tertiair!J16</f>
        <v>3.1133722640680834E-2</v>
      </c>
      <c r="L10" s="718">
        <f>tertiair!K16</f>
        <v>0</v>
      </c>
      <c r="M10" s="718">
        <f ca="1">tertiair!L16</f>
        <v>0</v>
      </c>
      <c r="N10" s="718">
        <f>tertiair!M16</f>
        <v>0</v>
      </c>
      <c r="O10" s="718">
        <f ca="1">tertiair!N16</f>
        <v>455.64878727090934</v>
      </c>
      <c r="P10" s="718">
        <f>tertiair!O16</f>
        <v>9.3800000000000008</v>
      </c>
      <c r="Q10" s="719">
        <f>tertiair!P16</f>
        <v>0</v>
      </c>
      <c r="R10" s="721">
        <f ca="1">SUM(C10:Q10)</f>
        <v>13171.121728483864</v>
      </c>
      <c r="S10" s="67"/>
    </row>
    <row r="11" spans="1:19" s="474" customFormat="1">
      <c r="A11" s="870" t="s">
        <v>225</v>
      </c>
      <c r="B11" s="875"/>
      <c r="C11" s="718">
        <f>huishoudens!B8</f>
        <v>15475.390359522984</v>
      </c>
      <c r="D11" s="718">
        <f>huishoudens!C8</f>
        <v>0</v>
      </c>
      <c r="E11" s="718">
        <f>huishoudens!D8</f>
        <v>17059.339988306852</v>
      </c>
      <c r="F11" s="718">
        <f>huishoudens!E8</f>
        <v>3684.1775839250017</v>
      </c>
      <c r="G11" s="718">
        <f>huishoudens!F8</f>
        <v>25795.088809584366</v>
      </c>
      <c r="H11" s="718">
        <f>huishoudens!G8</f>
        <v>0</v>
      </c>
      <c r="I11" s="718">
        <f>huishoudens!H8</f>
        <v>0</v>
      </c>
      <c r="J11" s="718">
        <f>huishoudens!I8</f>
        <v>0</v>
      </c>
      <c r="K11" s="718">
        <f>huishoudens!J8</f>
        <v>5451.2465491820458</v>
      </c>
      <c r="L11" s="718">
        <f>huishoudens!K8</f>
        <v>0</v>
      </c>
      <c r="M11" s="718">
        <f>huishoudens!L8</f>
        <v>0</v>
      </c>
      <c r="N11" s="718">
        <f>huishoudens!M8</f>
        <v>0</v>
      </c>
      <c r="O11" s="718">
        <f>huishoudens!N8</f>
        <v>9478.1543602413221</v>
      </c>
      <c r="P11" s="718">
        <f>huishoudens!O8</f>
        <v>218.86666666666667</v>
      </c>
      <c r="Q11" s="719">
        <f>huishoudens!P8</f>
        <v>1182.1333333333332</v>
      </c>
      <c r="R11" s="721">
        <f>SUM(C11:Q11)</f>
        <v>78344.397650762578</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1508.4809738847873</v>
      </c>
      <c r="D13" s="718">
        <f>industrie!C18</f>
        <v>0</v>
      </c>
      <c r="E13" s="718">
        <f>industrie!D18</f>
        <v>513.87550940976712</v>
      </c>
      <c r="F13" s="718">
        <f>industrie!E18</f>
        <v>188.69186756967406</v>
      </c>
      <c r="G13" s="718">
        <f>industrie!F18</f>
        <v>568.06111295334665</v>
      </c>
      <c r="H13" s="718">
        <f>industrie!G18</f>
        <v>0</v>
      </c>
      <c r="I13" s="718">
        <f>industrie!H18</f>
        <v>0</v>
      </c>
      <c r="J13" s="718">
        <f>industrie!I18</f>
        <v>0</v>
      </c>
      <c r="K13" s="718">
        <f>industrie!J18</f>
        <v>3.3747049433600247</v>
      </c>
      <c r="L13" s="718">
        <f>industrie!K18</f>
        <v>0</v>
      </c>
      <c r="M13" s="718">
        <f>industrie!L18</f>
        <v>0</v>
      </c>
      <c r="N13" s="718">
        <f>industrie!M18</f>
        <v>0</v>
      </c>
      <c r="O13" s="718">
        <f>industrie!N18</f>
        <v>372.50482394102005</v>
      </c>
      <c r="P13" s="718">
        <f>industrie!O18</f>
        <v>0</v>
      </c>
      <c r="Q13" s="719">
        <f>industrie!P18</f>
        <v>0</v>
      </c>
      <c r="R13" s="721">
        <f>SUM(C13:Q13)</f>
        <v>3154.9889927019549</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23879.120991299107</v>
      </c>
      <c r="D15" s="723">
        <f t="shared" ref="D15:Q15" ca="1" si="0">SUM(D9:D14)</f>
        <v>0</v>
      </c>
      <c r="E15" s="723">
        <f t="shared" ca="1" si="0"/>
        <v>22189.763970032567</v>
      </c>
      <c r="F15" s="723">
        <f t="shared" si="0"/>
        <v>3946.806868304011</v>
      </c>
      <c r="G15" s="723">
        <f t="shared" ca="1" si="0"/>
        <v>27483.476183011411</v>
      </c>
      <c r="H15" s="723">
        <f t="shared" si="0"/>
        <v>0</v>
      </c>
      <c r="I15" s="723">
        <f t="shared" si="0"/>
        <v>0</v>
      </c>
      <c r="J15" s="723">
        <f t="shared" si="0"/>
        <v>0</v>
      </c>
      <c r="K15" s="723">
        <f t="shared" si="0"/>
        <v>5454.6523878480457</v>
      </c>
      <c r="L15" s="723">
        <f t="shared" si="0"/>
        <v>0</v>
      </c>
      <c r="M15" s="723">
        <f t="shared" ca="1" si="0"/>
        <v>0</v>
      </c>
      <c r="N15" s="723">
        <f t="shared" si="0"/>
        <v>0</v>
      </c>
      <c r="O15" s="723">
        <f t="shared" ca="1" si="0"/>
        <v>10306.307971453252</v>
      </c>
      <c r="P15" s="723">
        <f t="shared" si="0"/>
        <v>228.24666666666667</v>
      </c>
      <c r="Q15" s="724">
        <f t="shared" si="0"/>
        <v>1182.1333333333332</v>
      </c>
      <c r="R15" s="725">
        <f ca="1">SUM(R9:R14)</f>
        <v>94670.508371948396</v>
      </c>
      <c r="S15" s="67"/>
    </row>
    <row r="16" spans="1:19" s="474" customFormat="1" ht="15.75">
      <c r="A16" s="872" t="s">
        <v>227</v>
      </c>
      <c r="B16" s="768"/>
      <c r="C16" s="1070"/>
      <c r="D16" s="1070"/>
      <c r="E16" s="1070"/>
      <c r="F16" s="1070"/>
      <c r="G16" s="1070"/>
      <c r="H16" s="1070"/>
      <c r="I16" s="1070"/>
      <c r="J16" s="1070"/>
      <c r="K16" s="1070"/>
      <c r="L16" s="1070"/>
      <c r="M16" s="1070"/>
      <c r="N16" s="1070"/>
      <c r="O16" s="1070"/>
      <c r="P16" s="1070"/>
      <c r="Q16" s="107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733.14732715932757</v>
      </c>
      <c r="I18" s="718">
        <f>transport!H54</f>
        <v>0</v>
      </c>
      <c r="J18" s="718">
        <f>transport!I54</f>
        <v>0</v>
      </c>
      <c r="K18" s="718">
        <f>transport!J54</f>
        <v>0</v>
      </c>
      <c r="L18" s="718">
        <f>transport!K54</f>
        <v>0</v>
      </c>
      <c r="M18" s="718">
        <f>transport!L54</f>
        <v>0</v>
      </c>
      <c r="N18" s="718">
        <f>transport!M54</f>
        <v>41.639531647772927</v>
      </c>
      <c r="O18" s="718">
        <f>transport!N54</f>
        <v>0</v>
      </c>
      <c r="P18" s="718">
        <f>transport!O54</f>
        <v>0</v>
      </c>
      <c r="Q18" s="719">
        <f>transport!P54</f>
        <v>0</v>
      </c>
      <c r="R18" s="721">
        <f>SUM(C18:Q18)</f>
        <v>774.78685880710054</v>
      </c>
      <c r="S18" s="67"/>
    </row>
    <row r="19" spans="1:19" s="474" customFormat="1" ht="15" thickBot="1">
      <c r="A19" s="870" t="s">
        <v>307</v>
      </c>
      <c r="B19" s="875"/>
      <c r="C19" s="727">
        <f>transport!B14</f>
        <v>25.595024930935065</v>
      </c>
      <c r="D19" s="727">
        <f>transport!C14</f>
        <v>0</v>
      </c>
      <c r="E19" s="727">
        <f>transport!D14</f>
        <v>89.729770118199085</v>
      </c>
      <c r="F19" s="727">
        <f>transport!E14</f>
        <v>119.59428181291534</v>
      </c>
      <c r="G19" s="727">
        <f>transport!F14</f>
        <v>0</v>
      </c>
      <c r="H19" s="727">
        <f>transport!G14</f>
        <v>42335.522567751723</v>
      </c>
      <c r="I19" s="727">
        <f>transport!H14</f>
        <v>10112.567114439091</v>
      </c>
      <c r="J19" s="727">
        <f>transport!I14</f>
        <v>0</v>
      </c>
      <c r="K19" s="727">
        <f>transport!J14</f>
        <v>0</v>
      </c>
      <c r="L19" s="727">
        <f>transport!K14</f>
        <v>0</v>
      </c>
      <c r="M19" s="727">
        <f>transport!L14</f>
        <v>0</v>
      </c>
      <c r="N19" s="727">
        <f>transport!M14</f>
        <v>2773.6064320534283</v>
      </c>
      <c r="O19" s="727">
        <f>transport!N14</f>
        <v>0</v>
      </c>
      <c r="P19" s="727">
        <f>transport!O14</f>
        <v>0</v>
      </c>
      <c r="Q19" s="728">
        <f>transport!P14</f>
        <v>0</v>
      </c>
      <c r="R19" s="729">
        <f>SUM(C19:Q19)</f>
        <v>55456.615191106284</v>
      </c>
      <c r="S19" s="67"/>
    </row>
    <row r="20" spans="1:19" s="474" customFormat="1" ht="15.75" thickBot="1">
      <c r="A20" s="730" t="s">
        <v>230</v>
      </c>
      <c r="B20" s="878"/>
      <c r="C20" s="873">
        <f>SUM(C17:C19)</f>
        <v>25.595024930935065</v>
      </c>
      <c r="D20" s="731">
        <f t="shared" ref="D20:R20" si="1">SUM(D17:D19)</f>
        <v>0</v>
      </c>
      <c r="E20" s="731">
        <f t="shared" si="1"/>
        <v>89.729770118199085</v>
      </c>
      <c r="F20" s="731">
        <f t="shared" si="1"/>
        <v>119.59428181291534</v>
      </c>
      <c r="G20" s="731">
        <f t="shared" si="1"/>
        <v>0</v>
      </c>
      <c r="H20" s="731">
        <f t="shared" si="1"/>
        <v>43068.669894911051</v>
      </c>
      <c r="I20" s="731">
        <f t="shared" si="1"/>
        <v>10112.567114439091</v>
      </c>
      <c r="J20" s="731">
        <f t="shared" si="1"/>
        <v>0</v>
      </c>
      <c r="K20" s="731">
        <f t="shared" si="1"/>
        <v>0</v>
      </c>
      <c r="L20" s="731">
        <f t="shared" si="1"/>
        <v>0</v>
      </c>
      <c r="M20" s="731">
        <f t="shared" si="1"/>
        <v>0</v>
      </c>
      <c r="N20" s="731">
        <f t="shared" si="1"/>
        <v>2815.2459637012012</v>
      </c>
      <c r="O20" s="731">
        <f t="shared" si="1"/>
        <v>0</v>
      </c>
      <c r="P20" s="731">
        <f t="shared" si="1"/>
        <v>0</v>
      </c>
      <c r="Q20" s="732">
        <f t="shared" si="1"/>
        <v>0</v>
      </c>
      <c r="R20" s="733">
        <f t="shared" si="1"/>
        <v>56231.402049913384</v>
      </c>
      <c r="S20" s="67"/>
    </row>
    <row r="21" spans="1:19" s="474" customFormat="1" ht="15.75">
      <c r="A21" s="872" t="s">
        <v>237</v>
      </c>
      <c r="B21" s="768"/>
      <c r="C21" s="1070"/>
      <c r="D21" s="1070"/>
      <c r="E21" s="1070"/>
      <c r="F21" s="1070"/>
      <c r="G21" s="1070"/>
      <c r="H21" s="1070"/>
      <c r="I21" s="1070"/>
      <c r="J21" s="1070"/>
      <c r="K21" s="1070"/>
      <c r="L21" s="1070"/>
      <c r="M21" s="1070"/>
      <c r="N21" s="1070"/>
      <c r="O21" s="1070"/>
      <c r="P21" s="1070"/>
      <c r="Q21" s="1070"/>
      <c r="R21" s="726"/>
      <c r="S21" s="67"/>
    </row>
    <row r="22" spans="1:19" s="474" customFormat="1" ht="15" thickBot="1">
      <c r="A22" s="870" t="s">
        <v>633</v>
      </c>
      <c r="B22" s="879"/>
      <c r="C22" s="727">
        <f>+landbouw!B8</f>
        <v>1000.112660579877</v>
      </c>
      <c r="D22" s="727">
        <f>+landbouw!C8</f>
        <v>0</v>
      </c>
      <c r="E22" s="727">
        <f>+landbouw!D8</f>
        <v>569.33521424423668</v>
      </c>
      <c r="F22" s="727">
        <f>+landbouw!E8</f>
        <v>29.396365791085653</v>
      </c>
      <c r="G22" s="727">
        <f>+landbouw!F8</f>
        <v>4166.4153007241939</v>
      </c>
      <c r="H22" s="727">
        <f>+landbouw!G8</f>
        <v>0</v>
      </c>
      <c r="I22" s="727">
        <f>+landbouw!H8</f>
        <v>0</v>
      </c>
      <c r="J22" s="727">
        <f>+landbouw!I8</f>
        <v>0</v>
      </c>
      <c r="K22" s="727">
        <f>+landbouw!J8</f>
        <v>144.8948468527858</v>
      </c>
      <c r="L22" s="727">
        <f>+landbouw!K8</f>
        <v>0</v>
      </c>
      <c r="M22" s="727">
        <f>+landbouw!L8</f>
        <v>0</v>
      </c>
      <c r="N22" s="727">
        <f>+landbouw!M8</f>
        <v>0</v>
      </c>
      <c r="O22" s="727">
        <f>+landbouw!N8</f>
        <v>0</v>
      </c>
      <c r="P22" s="727">
        <f>+landbouw!O8</f>
        <v>0</v>
      </c>
      <c r="Q22" s="728">
        <f>+landbouw!P8</f>
        <v>0</v>
      </c>
      <c r="R22" s="729">
        <f>SUM(C22:Q22)</f>
        <v>5910.1543881921789</v>
      </c>
      <c r="S22" s="67"/>
    </row>
    <row r="23" spans="1:19" s="474" customFormat="1" ht="17.25" thickTop="1" thickBot="1">
      <c r="A23" s="734" t="s">
        <v>116</v>
      </c>
      <c r="B23" s="864"/>
      <c r="C23" s="735">
        <f ca="1">C20+C15+C22</f>
        <v>24904.828676809921</v>
      </c>
      <c r="D23" s="735">
        <f t="shared" ref="D23:Q23" ca="1" si="2">D20+D15+D22</f>
        <v>0</v>
      </c>
      <c r="E23" s="735">
        <f t="shared" ca="1" si="2"/>
        <v>22848.828954395005</v>
      </c>
      <c r="F23" s="735">
        <f t="shared" si="2"/>
        <v>4095.797515908012</v>
      </c>
      <c r="G23" s="735">
        <f t="shared" ca="1" si="2"/>
        <v>31649.891483735606</v>
      </c>
      <c r="H23" s="735">
        <f t="shared" si="2"/>
        <v>43068.669894911051</v>
      </c>
      <c r="I23" s="735">
        <f t="shared" si="2"/>
        <v>10112.567114439091</v>
      </c>
      <c r="J23" s="735">
        <f t="shared" si="2"/>
        <v>0</v>
      </c>
      <c r="K23" s="735">
        <f t="shared" si="2"/>
        <v>5599.5472347008317</v>
      </c>
      <c r="L23" s="735">
        <f t="shared" si="2"/>
        <v>0</v>
      </c>
      <c r="M23" s="735">
        <f t="shared" ca="1" si="2"/>
        <v>0</v>
      </c>
      <c r="N23" s="735">
        <f t="shared" si="2"/>
        <v>2815.2459637012012</v>
      </c>
      <c r="O23" s="735">
        <f t="shared" ca="1" si="2"/>
        <v>10306.307971453252</v>
      </c>
      <c r="P23" s="735">
        <f t="shared" si="2"/>
        <v>228.24666666666667</v>
      </c>
      <c r="Q23" s="736">
        <f t="shared" si="2"/>
        <v>1182.1333333333332</v>
      </c>
      <c r="R23" s="737">
        <f ca="1">R20+R15+R22</f>
        <v>156812.06481005394</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071"/>
      <c r="B27" s="1071"/>
      <c r="C27" s="107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20"/>
      <c r="B29" s="1020"/>
      <c r="C29" s="1020"/>
      <c r="D29" s="1020"/>
      <c r="E29" s="1020"/>
      <c r="F29" s="1020"/>
      <c r="G29" s="1020"/>
      <c r="H29" s="1020"/>
      <c r="I29" s="1020"/>
      <c r="J29" s="1020"/>
      <c r="K29" s="1020"/>
      <c r="L29" s="1020"/>
      <c r="M29" s="1020"/>
      <c r="N29" s="1020"/>
      <c r="O29" s="1020"/>
      <c r="P29" s="1020"/>
      <c r="Q29" s="1020"/>
      <c r="R29" s="102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072"/>
      <c r="B31" s="882"/>
      <c r="C31" s="1074" t="s">
        <v>347</v>
      </c>
      <c r="D31" s="1075"/>
      <c r="E31" s="1075"/>
      <c r="F31" s="1075"/>
      <c r="G31" s="1075"/>
      <c r="H31" s="1075"/>
      <c r="I31" s="1075"/>
      <c r="J31" s="1075"/>
      <c r="K31" s="1075"/>
      <c r="L31" s="1075"/>
      <c r="M31" s="1075"/>
      <c r="N31" s="1075"/>
      <c r="O31" s="1075"/>
      <c r="P31" s="1075"/>
      <c r="Q31" s="1075"/>
      <c r="R31" s="1076"/>
    </row>
    <row r="32" spans="1:19" ht="16.5" thickTop="1">
      <c r="A32" s="1073"/>
      <c r="B32" s="883"/>
      <c r="C32" s="1077" t="s">
        <v>21</v>
      </c>
      <c r="D32" s="1037" t="s">
        <v>232</v>
      </c>
      <c r="E32" s="1079" t="s">
        <v>197</v>
      </c>
      <c r="F32" s="1080"/>
      <c r="G32" s="1080"/>
      <c r="H32" s="1080"/>
      <c r="I32" s="1080"/>
      <c r="J32" s="1080"/>
      <c r="K32" s="1080"/>
      <c r="L32" s="1081"/>
      <c r="M32" s="1079" t="s">
        <v>198</v>
      </c>
      <c r="N32" s="1080"/>
      <c r="O32" s="1080"/>
      <c r="P32" s="1080"/>
      <c r="Q32" s="1080"/>
      <c r="R32" s="1021" t="s">
        <v>116</v>
      </c>
    </row>
    <row r="33" spans="1:18" ht="45.75" thickBot="1">
      <c r="A33" s="1073"/>
      <c r="B33" s="883"/>
      <c r="C33" s="1078"/>
      <c r="D33" s="104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2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1363.268898120012</v>
      </c>
      <c r="D36" s="718">
        <f ca="1">tertiair!C20</f>
        <v>0</v>
      </c>
      <c r="E36" s="718">
        <f ca="1">tertiair!D20</f>
        <v>932.54279140782114</v>
      </c>
      <c r="F36" s="718">
        <f>tertiair!E20</f>
        <v>16.783793615719031</v>
      </c>
      <c r="G36" s="718">
        <f ca="1">tertiair!F20</f>
        <v>299.12711154647724</v>
      </c>
      <c r="H36" s="718">
        <f>tertiair!G20</f>
        <v>0</v>
      </c>
      <c r="I36" s="718">
        <f>tertiair!H20</f>
        <v>0</v>
      </c>
      <c r="J36" s="718">
        <f>tertiair!I20</f>
        <v>0</v>
      </c>
      <c r="K36" s="718">
        <f>tertiair!J20</f>
        <v>1.1021337814801014E-2</v>
      </c>
      <c r="L36" s="718">
        <f>tertiair!K20</f>
        <v>0</v>
      </c>
      <c r="M36" s="718">
        <f ca="1">tertiair!L20</f>
        <v>0</v>
      </c>
      <c r="N36" s="718">
        <f>tertiair!M20</f>
        <v>0</v>
      </c>
      <c r="O36" s="718">
        <f ca="1">tertiair!N20</f>
        <v>0</v>
      </c>
      <c r="P36" s="718">
        <f>tertiair!O20</f>
        <v>0</v>
      </c>
      <c r="Q36" s="828">
        <f>tertiair!P20</f>
        <v>0</v>
      </c>
      <c r="R36" s="917">
        <f ca="1">SUM(C36:Q36)</f>
        <v>2611.7336160278442</v>
      </c>
    </row>
    <row r="37" spans="1:18">
      <c r="A37" s="885" t="s">
        <v>225</v>
      </c>
      <c r="B37" s="892"/>
      <c r="C37" s="718">
        <f ca="1">huishoudens!B12</f>
        <v>3059.6598252623312</v>
      </c>
      <c r="D37" s="718">
        <f ca="1">huishoudens!C12</f>
        <v>0</v>
      </c>
      <c r="E37" s="718">
        <f>huishoudens!D12</f>
        <v>3445.9866776379845</v>
      </c>
      <c r="F37" s="718">
        <f>huishoudens!E12</f>
        <v>836.30831155097542</v>
      </c>
      <c r="G37" s="718">
        <f>huishoudens!F12</f>
        <v>6887.2887121590256</v>
      </c>
      <c r="H37" s="718">
        <f>huishoudens!G12</f>
        <v>0</v>
      </c>
      <c r="I37" s="718">
        <f>huishoudens!H12</f>
        <v>0</v>
      </c>
      <c r="J37" s="718">
        <f>huishoudens!I12</f>
        <v>0</v>
      </c>
      <c r="K37" s="718">
        <f>huishoudens!J12</f>
        <v>1929.741278410444</v>
      </c>
      <c r="L37" s="718">
        <f>huishoudens!K12</f>
        <v>0</v>
      </c>
      <c r="M37" s="718">
        <f>huishoudens!L12</f>
        <v>0</v>
      </c>
      <c r="N37" s="718">
        <f>huishoudens!M12</f>
        <v>0</v>
      </c>
      <c r="O37" s="718">
        <f>huishoudens!N12</f>
        <v>0</v>
      </c>
      <c r="P37" s="718">
        <f>huishoudens!O12</f>
        <v>0</v>
      </c>
      <c r="Q37" s="828">
        <f>huishoudens!P12</f>
        <v>0</v>
      </c>
      <c r="R37" s="917">
        <f ca="1">SUM(C37:Q37)</f>
        <v>16158.98480502076</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298.24376159453124</v>
      </c>
      <c r="D39" s="718">
        <f ca="1">industrie!C22</f>
        <v>0</v>
      </c>
      <c r="E39" s="718">
        <f>industrie!D22</f>
        <v>103.80285290077296</v>
      </c>
      <c r="F39" s="718">
        <f>industrie!E22</f>
        <v>42.833053938316013</v>
      </c>
      <c r="G39" s="718">
        <f>industrie!F22</f>
        <v>151.67231715854356</v>
      </c>
      <c r="H39" s="718">
        <f>industrie!G22</f>
        <v>0</v>
      </c>
      <c r="I39" s="718">
        <f>industrie!H22</f>
        <v>0</v>
      </c>
      <c r="J39" s="718">
        <f>industrie!I22</f>
        <v>0</v>
      </c>
      <c r="K39" s="718">
        <f>industrie!J22</f>
        <v>1.1946455499494486</v>
      </c>
      <c r="L39" s="718">
        <f>industrie!K22</f>
        <v>0</v>
      </c>
      <c r="M39" s="718">
        <f>industrie!L22</f>
        <v>0</v>
      </c>
      <c r="N39" s="718">
        <f>industrie!M22</f>
        <v>0</v>
      </c>
      <c r="O39" s="718">
        <f>industrie!N22</f>
        <v>0</v>
      </c>
      <c r="P39" s="718">
        <f>industrie!O22</f>
        <v>0</v>
      </c>
      <c r="Q39" s="828">
        <f>industrie!P22</f>
        <v>0</v>
      </c>
      <c r="R39" s="918">
        <f ca="1">SUM(C39:Q39)</f>
        <v>597.74663114211319</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4721.1724849768743</v>
      </c>
      <c r="D41" s="763">
        <f t="shared" ref="D41:R41" ca="1" si="4">SUM(D35:D40)</f>
        <v>0</v>
      </c>
      <c r="E41" s="763">
        <f t="shared" ca="1" si="4"/>
        <v>4482.3323219465792</v>
      </c>
      <c r="F41" s="763">
        <f t="shared" si="4"/>
        <v>895.92515910501038</v>
      </c>
      <c r="G41" s="763">
        <f t="shared" ca="1" si="4"/>
        <v>7338.0881408640462</v>
      </c>
      <c r="H41" s="763">
        <f t="shared" si="4"/>
        <v>0</v>
      </c>
      <c r="I41" s="763">
        <f t="shared" si="4"/>
        <v>0</v>
      </c>
      <c r="J41" s="763">
        <f t="shared" si="4"/>
        <v>0</v>
      </c>
      <c r="K41" s="763">
        <f t="shared" si="4"/>
        <v>1930.9469452982082</v>
      </c>
      <c r="L41" s="763">
        <f t="shared" si="4"/>
        <v>0</v>
      </c>
      <c r="M41" s="763">
        <f t="shared" ca="1" si="4"/>
        <v>0</v>
      </c>
      <c r="N41" s="763">
        <f t="shared" si="4"/>
        <v>0</v>
      </c>
      <c r="O41" s="763">
        <f t="shared" ca="1" si="4"/>
        <v>0</v>
      </c>
      <c r="P41" s="763">
        <f t="shared" si="4"/>
        <v>0</v>
      </c>
      <c r="Q41" s="764">
        <f t="shared" si="4"/>
        <v>0</v>
      </c>
      <c r="R41" s="765">
        <f t="shared" ca="1" si="4"/>
        <v>19368.465052190717</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195.75033635154048</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195.75033635154048</v>
      </c>
    </row>
    <row r="45" spans="1:18" ht="15" thickBot="1">
      <c r="A45" s="888" t="s">
        <v>307</v>
      </c>
      <c r="B45" s="898"/>
      <c r="C45" s="727">
        <f ca="1">transport!B18</f>
        <v>5.0604261145231426</v>
      </c>
      <c r="D45" s="727">
        <f>transport!C18</f>
        <v>0</v>
      </c>
      <c r="E45" s="727">
        <f>transport!D18</f>
        <v>18.125413563876215</v>
      </c>
      <c r="F45" s="727">
        <f>transport!E18</f>
        <v>27.147901971531784</v>
      </c>
      <c r="G45" s="727">
        <f>transport!F18</f>
        <v>0</v>
      </c>
      <c r="H45" s="727">
        <f>transport!G18</f>
        <v>11303.584525589711</v>
      </c>
      <c r="I45" s="727">
        <f>transport!H18</f>
        <v>2518.0292114953336</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13871.947478734975</v>
      </c>
    </row>
    <row r="46" spans="1:18" ht="15.75" thickBot="1">
      <c r="A46" s="886" t="s">
        <v>230</v>
      </c>
      <c r="B46" s="899"/>
      <c r="C46" s="763">
        <f t="shared" ref="C46:R46" ca="1" si="5">SUM(C43:C45)</f>
        <v>5.0604261145231426</v>
      </c>
      <c r="D46" s="763">
        <f t="shared" ca="1" si="5"/>
        <v>0</v>
      </c>
      <c r="E46" s="763">
        <f t="shared" si="5"/>
        <v>18.125413563876215</v>
      </c>
      <c r="F46" s="763">
        <f t="shared" si="5"/>
        <v>27.147901971531784</v>
      </c>
      <c r="G46" s="763">
        <f t="shared" si="5"/>
        <v>0</v>
      </c>
      <c r="H46" s="763">
        <f t="shared" si="5"/>
        <v>11499.334861941252</v>
      </c>
      <c r="I46" s="763">
        <f t="shared" si="5"/>
        <v>2518.0292114953336</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14067.697815086516</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197.73359231804179</v>
      </c>
      <c r="D48" s="718">
        <f ca="1">+landbouw!C12</f>
        <v>0</v>
      </c>
      <c r="E48" s="718">
        <f>+landbouw!D12</f>
        <v>115.00571327733581</v>
      </c>
      <c r="F48" s="718">
        <f>+landbouw!E12</f>
        <v>6.6729750345764431</v>
      </c>
      <c r="G48" s="718">
        <f>+landbouw!F12</f>
        <v>1112.4328852933597</v>
      </c>
      <c r="H48" s="718">
        <f>+landbouw!G12</f>
        <v>0</v>
      </c>
      <c r="I48" s="718">
        <f>+landbouw!H12</f>
        <v>0</v>
      </c>
      <c r="J48" s="718">
        <f>+landbouw!I12</f>
        <v>0</v>
      </c>
      <c r="K48" s="718">
        <f>+landbouw!J12</f>
        <v>51.292775785886171</v>
      </c>
      <c r="L48" s="718">
        <f>+landbouw!K12</f>
        <v>0</v>
      </c>
      <c r="M48" s="718">
        <f>+landbouw!L12</f>
        <v>0</v>
      </c>
      <c r="N48" s="718">
        <f>+landbouw!M12</f>
        <v>0</v>
      </c>
      <c r="O48" s="718">
        <f>+landbouw!N12</f>
        <v>0</v>
      </c>
      <c r="P48" s="718">
        <f>+landbouw!O12</f>
        <v>0</v>
      </c>
      <c r="Q48" s="719">
        <f>+landbouw!P12</f>
        <v>0</v>
      </c>
      <c r="R48" s="761">
        <f ca="1">SUM(C48:Q48)</f>
        <v>1483.1379417091998</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052"/>
      <c r="D50" s="1053"/>
      <c r="E50" s="1053"/>
      <c r="F50" s="1053"/>
      <c r="G50" s="1053"/>
      <c r="H50" s="1053"/>
      <c r="I50" s="1053"/>
      <c r="J50" s="1053"/>
      <c r="K50" s="1053"/>
      <c r="L50" s="1053"/>
      <c r="M50" s="1053"/>
      <c r="N50" s="1053"/>
      <c r="O50" s="1053"/>
      <c r="P50" s="1053"/>
      <c r="Q50" s="1053"/>
      <c r="R50" s="770"/>
    </row>
    <row r="51" spans="1:18" ht="15">
      <c r="A51" s="890" t="s">
        <v>239</v>
      </c>
      <c r="B51" s="875"/>
      <c r="C51" s="1054"/>
      <c r="D51" s="1055"/>
      <c r="E51" s="1055"/>
      <c r="F51" s="1055"/>
      <c r="G51" s="1055"/>
      <c r="H51" s="1055"/>
      <c r="I51" s="1055"/>
      <c r="J51" s="1055"/>
      <c r="K51" s="1055"/>
      <c r="L51" s="1055"/>
      <c r="M51" s="1055"/>
      <c r="N51" s="1055"/>
      <c r="O51" s="1055"/>
      <c r="P51" s="1055"/>
      <c r="Q51" s="1055"/>
      <c r="R51" s="771"/>
    </row>
    <row r="52" spans="1:18" ht="15" thickBot="1">
      <c r="A52" s="902" t="s">
        <v>240</v>
      </c>
      <c r="B52" s="903"/>
      <c r="C52" s="1054"/>
      <c r="D52" s="1055"/>
      <c r="E52" s="1055"/>
      <c r="F52" s="1055"/>
      <c r="G52" s="1055"/>
      <c r="H52" s="1055"/>
      <c r="I52" s="1055"/>
      <c r="J52" s="1055"/>
      <c r="K52" s="1055"/>
      <c r="L52" s="1055"/>
      <c r="M52" s="1055"/>
      <c r="N52" s="1055"/>
      <c r="O52" s="1055"/>
      <c r="P52" s="1055"/>
      <c r="Q52" s="1055"/>
      <c r="R52" s="762"/>
    </row>
    <row r="53" spans="1:18" ht="16.5" thickBot="1">
      <c r="A53" s="906" t="s">
        <v>116</v>
      </c>
      <c r="B53" s="907"/>
      <c r="C53" s="772">
        <f ca="1">C41+C46+C48</f>
        <v>4923.9665034094396</v>
      </c>
      <c r="D53" s="773">
        <f t="shared" ref="D53:Q53" ca="1" si="6">D41+D46+D48</f>
        <v>0</v>
      </c>
      <c r="E53" s="773">
        <f t="shared" ca="1" si="6"/>
        <v>4615.4634487877911</v>
      </c>
      <c r="F53" s="773">
        <f t="shared" si="6"/>
        <v>929.74603611111866</v>
      </c>
      <c r="G53" s="773">
        <f t="shared" ca="1" si="6"/>
        <v>8450.5210261574066</v>
      </c>
      <c r="H53" s="773">
        <f t="shared" si="6"/>
        <v>11499.334861941252</v>
      </c>
      <c r="I53" s="773">
        <f t="shared" si="6"/>
        <v>2518.0292114953336</v>
      </c>
      <c r="J53" s="773">
        <f t="shared" si="6"/>
        <v>0</v>
      </c>
      <c r="K53" s="773">
        <f t="shared" si="6"/>
        <v>1982.2397210840943</v>
      </c>
      <c r="L53" s="773">
        <f t="shared" si="6"/>
        <v>0</v>
      </c>
      <c r="M53" s="773">
        <f t="shared" ca="1" si="6"/>
        <v>0</v>
      </c>
      <c r="N53" s="773">
        <f t="shared" si="6"/>
        <v>0</v>
      </c>
      <c r="O53" s="773">
        <f t="shared" ca="1" si="6"/>
        <v>0</v>
      </c>
      <c r="P53" s="773">
        <f>P41+P46+P48</f>
        <v>0</v>
      </c>
      <c r="Q53" s="774">
        <f t="shared" si="6"/>
        <v>0</v>
      </c>
      <c r="R53" s="775">
        <f ca="1">R41+R46+R48</f>
        <v>34919.300808986438</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0.19771131804630243</v>
      </c>
      <c r="D55" s="836">
        <f t="shared" ca="1" si="7"/>
        <v>0</v>
      </c>
      <c r="E55" s="836">
        <f t="shared" ca="1" si="7"/>
        <v>0.20200000000000001</v>
      </c>
      <c r="F55" s="836">
        <f t="shared" si="7"/>
        <v>0.22699999999999998</v>
      </c>
      <c r="G55" s="836">
        <f t="shared" ca="1" si="7"/>
        <v>0.26700000000000002</v>
      </c>
      <c r="H55" s="836">
        <f t="shared" si="7"/>
        <v>0.26700000000000002</v>
      </c>
      <c r="I55" s="836">
        <f t="shared" si="7"/>
        <v>0.249</v>
      </c>
      <c r="J55" s="836">
        <f t="shared" si="7"/>
        <v>0</v>
      </c>
      <c r="K55" s="836">
        <f t="shared" si="7"/>
        <v>0.35399999999999998</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20"/>
      <c r="B59" s="1020"/>
      <c r="C59" s="1020"/>
      <c r="D59" s="1020"/>
      <c r="E59" s="1020"/>
      <c r="F59" s="1020"/>
      <c r="G59" s="1020"/>
      <c r="H59" s="1020"/>
      <c r="I59" s="1020"/>
      <c r="J59" s="1020"/>
      <c r="K59" s="1020"/>
      <c r="L59" s="1020"/>
      <c r="M59" s="1020"/>
      <c r="N59" s="1020"/>
      <c r="O59" s="1020"/>
      <c r="P59" s="1020"/>
      <c r="Q59" s="102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21" t="s">
        <v>241</v>
      </c>
      <c r="B61" s="1035" t="s">
        <v>351</v>
      </c>
      <c r="C61" s="1027"/>
      <c r="D61" s="1024" t="s">
        <v>352</v>
      </c>
      <c r="E61" s="1025"/>
      <c r="F61" s="1025"/>
      <c r="G61" s="1025"/>
      <c r="H61" s="1025"/>
      <c r="I61" s="1025"/>
      <c r="J61" s="1025"/>
      <c r="K61" s="1025"/>
      <c r="L61" s="1025"/>
      <c r="M61" s="1026"/>
      <c r="N61" s="1027" t="s">
        <v>642</v>
      </c>
      <c r="O61" s="1060" t="s">
        <v>641</v>
      </c>
      <c r="P61" s="1061"/>
      <c r="Q61" s="785"/>
      <c r="R61" s="742"/>
    </row>
    <row r="62" spans="1:18" ht="31.5" thickTop="1" thickBot="1">
      <c r="A62" s="1022"/>
      <c r="B62" s="1059"/>
      <c r="C62" s="1029"/>
      <c r="D62" s="1056" t="s">
        <v>197</v>
      </c>
      <c r="E62" s="1057"/>
      <c r="F62" s="1057"/>
      <c r="G62" s="1057"/>
      <c r="H62" s="1058"/>
      <c r="I62" s="786" t="s">
        <v>245</v>
      </c>
      <c r="J62" s="787" t="s">
        <v>246</v>
      </c>
      <c r="K62" s="787" t="s">
        <v>234</v>
      </c>
      <c r="L62" s="787" t="s">
        <v>247</v>
      </c>
      <c r="M62" s="1041" t="s">
        <v>127</v>
      </c>
      <c r="N62" s="1028"/>
      <c r="O62" s="926"/>
      <c r="P62" s="927"/>
      <c r="Q62" s="785"/>
      <c r="R62" s="742"/>
    </row>
    <row r="63" spans="1:18" ht="95.25" customHeight="1" thickTop="1" thickBot="1">
      <c r="A63" s="1023"/>
      <c r="B63" s="854" t="s">
        <v>555</v>
      </c>
      <c r="C63" s="854" t="s">
        <v>640</v>
      </c>
      <c r="D63" s="788" t="s">
        <v>199</v>
      </c>
      <c r="E63" s="789" t="s">
        <v>200</v>
      </c>
      <c r="F63" s="790" t="s">
        <v>201</v>
      </c>
      <c r="G63" s="791" t="s">
        <v>203</v>
      </c>
      <c r="H63" s="792" t="s">
        <v>204</v>
      </c>
      <c r="I63" s="793"/>
      <c r="J63" s="789"/>
      <c r="K63" s="789"/>
      <c r="L63" s="789"/>
      <c r="M63" s="1065"/>
      <c r="N63" s="1029"/>
      <c r="O63" s="857" t="s">
        <v>643</v>
      </c>
      <c r="P63" s="855" t="s">
        <v>644</v>
      </c>
      <c r="Q63" s="785"/>
      <c r="R63" s="742"/>
    </row>
    <row r="64" spans="1:18" ht="15.75" thickTop="1">
      <c r="A64" s="794" t="s">
        <v>249</v>
      </c>
      <c r="B64" s="908">
        <f>'lokale energieproductie'!B4</f>
        <v>0</v>
      </c>
      <c r="C64" s="795">
        <f>'lokale energieproductie'!B4</f>
        <v>0</v>
      </c>
      <c r="D64" s="1066"/>
      <c r="E64" s="1043"/>
      <c r="F64" s="1043"/>
      <c r="G64" s="1046"/>
      <c r="H64" s="1049"/>
      <c r="I64" s="796"/>
      <c r="J64" s="796"/>
      <c r="K64" s="796"/>
      <c r="L64" s="796"/>
      <c r="M64" s="1062"/>
      <c r="N64" s="921">
        <v>0</v>
      </c>
      <c r="O64" s="928"/>
      <c r="P64" s="921">
        <v>0</v>
      </c>
      <c r="Q64" s="785"/>
      <c r="R64" s="783"/>
    </row>
    <row r="65" spans="1:18" ht="15">
      <c r="A65" s="797" t="s">
        <v>250</v>
      </c>
      <c r="B65" s="794">
        <f>'lokale energieproductie'!B5</f>
        <v>17.590620040955631</v>
      </c>
      <c r="C65" s="795">
        <f>'lokale energieproductie'!B5</f>
        <v>17.590620040955631</v>
      </c>
      <c r="D65" s="1067"/>
      <c r="E65" s="1044"/>
      <c r="F65" s="1044"/>
      <c r="G65" s="1047"/>
      <c r="H65" s="1050"/>
      <c r="I65" s="798"/>
      <c r="J65" s="798"/>
      <c r="K65" s="798"/>
      <c r="L65" s="798"/>
      <c r="M65" s="1063"/>
      <c r="N65" s="922">
        <v>0</v>
      </c>
      <c r="O65" s="928"/>
      <c r="P65" s="922">
        <v>0</v>
      </c>
      <c r="Q65" s="785"/>
      <c r="R65" s="748"/>
    </row>
    <row r="66" spans="1:18" ht="15">
      <c r="A66" s="797" t="s">
        <v>251</v>
      </c>
      <c r="B66" s="794">
        <f>'lokale energieproductie'!B6</f>
        <v>2336.846638626701</v>
      </c>
      <c r="C66" s="795">
        <f>'lokale energieproductie'!B6</f>
        <v>2336.846638626701</v>
      </c>
      <c r="D66" s="1068"/>
      <c r="E66" s="1045"/>
      <c r="F66" s="1045"/>
      <c r="G66" s="1048"/>
      <c r="H66" s="1051"/>
      <c r="I66" s="799"/>
      <c r="J66" s="799"/>
      <c r="K66" s="799"/>
      <c r="L66" s="799"/>
      <c r="M66" s="1064"/>
      <c r="N66" s="922">
        <v>0</v>
      </c>
      <c r="O66" s="928"/>
      <c r="P66" s="922">
        <v>0</v>
      </c>
      <c r="Q66" s="785"/>
      <c r="R66" s="783"/>
    </row>
    <row r="67" spans="1:18" ht="15">
      <c r="A67" s="800" t="s">
        <v>252</v>
      </c>
      <c r="B67" s="794">
        <f>'lokale energieproductie'!B7</f>
        <v>0</v>
      </c>
      <c r="C67" s="794">
        <f>B67*IFERROR(SUM(J67:L67)/SUM(D67:M67),0)</f>
        <v>0</v>
      </c>
      <c r="D67" s="826">
        <f>'lokale energieproductie'!C7</f>
        <v>0</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0</v>
      </c>
      <c r="P67" s="922">
        <v>0</v>
      </c>
      <c r="Q67" s="785"/>
      <c r="R67" s="742"/>
    </row>
    <row r="68" spans="1:18" ht="30.75" thickBot="1">
      <c r="A68" s="801" t="s">
        <v>353</v>
      </c>
      <c r="B68" s="794">
        <f>'lokale energieproductie'!B8</f>
        <v>270</v>
      </c>
      <c r="C68" s="794">
        <f>B68*IFERROR(SUM(J68:L68)/SUM(D68:M68),0)</f>
        <v>270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771.42857142857144</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2624.4372586676568</v>
      </c>
      <c r="C69" s="803">
        <f>SUM(C64:C68)</f>
        <v>2624.4372586676568</v>
      </c>
      <c r="D69" s="804">
        <f t="shared" ref="D69:M69" si="8">SUM(D67:D68)</f>
        <v>0</v>
      </c>
      <c r="E69" s="804">
        <f t="shared" si="8"/>
        <v>0</v>
      </c>
      <c r="F69" s="804">
        <f t="shared" si="8"/>
        <v>0</v>
      </c>
      <c r="G69" s="804">
        <f t="shared" si="8"/>
        <v>0</v>
      </c>
      <c r="H69" s="804">
        <f t="shared" si="8"/>
        <v>0</v>
      </c>
      <c r="I69" s="804">
        <f t="shared" si="8"/>
        <v>0</v>
      </c>
      <c r="J69" s="804">
        <f t="shared" si="8"/>
        <v>0</v>
      </c>
      <c r="K69" s="804">
        <f t="shared" si="8"/>
        <v>771.42857142857144</v>
      </c>
      <c r="L69" s="804">
        <f t="shared" si="8"/>
        <v>0</v>
      </c>
      <c r="M69" s="930">
        <f t="shared" si="8"/>
        <v>0</v>
      </c>
      <c r="N69" s="805">
        <v>0</v>
      </c>
      <c r="O69" s="805">
        <f>SUM(O67:O68)</f>
        <v>0</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20"/>
      <c r="B73" s="1020"/>
      <c r="C73" s="1020"/>
      <c r="D73" s="1020"/>
      <c r="E73" s="1020"/>
      <c r="F73" s="1020"/>
      <c r="G73" s="1020"/>
      <c r="H73" s="1020"/>
      <c r="I73" s="1020"/>
      <c r="J73" s="1020"/>
      <c r="K73" s="1020"/>
      <c r="L73" s="1020"/>
      <c r="M73" s="1020"/>
      <c r="N73" s="1020"/>
      <c r="O73" s="1020"/>
      <c r="P73" s="102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21" t="s">
        <v>253</v>
      </c>
      <c r="B75" s="1035" t="s">
        <v>355</v>
      </c>
      <c r="C75" s="1027"/>
      <c r="D75" s="1024" t="s">
        <v>356</v>
      </c>
      <c r="E75" s="1025"/>
      <c r="F75" s="1025"/>
      <c r="G75" s="1025"/>
      <c r="H75" s="1025"/>
      <c r="I75" s="1025"/>
      <c r="J75" s="1025"/>
      <c r="K75" s="1025"/>
      <c r="L75" s="1025"/>
      <c r="M75" s="1026"/>
      <c r="N75" s="1027" t="s">
        <v>642</v>
      </c>
      <c r="O75" s="1035" t="s">
        <v>641</v>
      </c>
      <c r="P75" s="1027"/>
      <c r="Q75" s="812"/>
      <c r="R75" s="742"/>
    </row>
    <row r="76" spans="1:18" ht="16.5" thickTop="1" thickBot="1">
      <c r="A76" s="1022"/>
      <c r="B76" s="1036"/>
      <c r="C76" s="1028"/>
      <c r="D76" s="1030" t="s">
        <v>197</v>
      </c>
      <c r="E76" s="1031"/>
      <c r="F76" s="1031"/>
      <c r="G76" s="1031"/>
      <c r="H76" s="1032"/>
      <c r="I76" s="1033" t="s">
        <v>245</v>
      </c>
      <c r="J76" s="1033" t="s">
        <v>246</v>
      </c>
      <c r="K76" s="1037" t="s">
        <v>234</v>
      </c>
      <c r="L76" s="1039" t="s">
        <v>257</v>
      </c>
      <c r="M76" s="1041" t="s">
        <v>127</v>
      </c>
      <c r="N76" s="1028"/>
      <c r="O76" s="926"/>
      <c r="P76" s="927"/>
      <c r="Q76" s="812"/>
      <c r="R76" s="742"/>
    </row>
    <row r="77" spans="1:18" ht="110.25" customHeight="1" thickTop="1" thickBot="1">
      <c r="A77" s="1023"/>
      <c r="B77" s="909" t="s">
        <v>555</v>
      </c>
      <c r="C77" s="909" t="s">
        <v>640</v>
      </c>
      <c r="D77" s="813" t="s">
        <v>199</v>
      </c>
      <c r="E77" s="789" t="s">
        <v>200</v>
      </c>
      <c r="F77" s="814" t="s">
        <v>201</v>
      </c>
      <c r="G77" s="789" t="s">
        <v>203</v>
      </c>
      <c r="H77" s="815" t="s">
        <v>204</v>
      </c>
      <c r="I77" s="1034"/>
      <c r="J77" s="1034"/>
      <c r="K77" s="1038"/>
      <c r="L77" s="1040"/>
      <c r="M77" s="1042"/>
      <c r="N77" s="1029"/>
      <c r="O77" s="857" t="s">
        <v>643</v>
      </c>
      <c r="P77" s="855" t="s">
        <v>644</v>
      </c>
      <c r="Q77" s="812"/>
      <c r="R77" s="742"/>
    </row>
    <row r="78" spans="1:18" ht="15.75" thickTop="1">
      <c r="A78" s="816" t="s">
        <v>252</v>
      </c>
      <c r="B78" s="817">
        <f>'lokale energieproductie'!B16</f>
        <v>0</v>
      </c>
      <c r="C78" s="817">
        <f>B78*IFERROR(SUM(I78:L78)/SUM(D78:M78),0)</f>
        <v>0</v>
      </c>
      <c r="D78" s="832">
        <f>'lokale energieproductie'!C16</f>
        <v>0</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0</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0</v>
      </c>
      <c r="C81" s="803">
        <f>SUM(C78:C80)</f>
        <v>0</v>
      </c>
      <c r="D81" s="803">
        <f t="shared" ref="D81:P81" si="9">SUM(D78:D80)</f>
        <v>0</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0</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5" sqref="D25"/>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099" t="s">
        <v>550</v>
      </c>
      <c r="B1" s="1100" t="s">
        <v>546</v>
      </c>
      <c r="C1" s="1100"/>
      <c r="D1" s="1100"/>
      <c r="E1" s="1100"/>
      <c r="F1" s="1100"/>
      <c r="G1" s="1100"/>
      <c r="H1" s="1100"/>
      <c r="I1" s="1100"/>
      <c r="J1" s="1100"/>
      <c r="K1" s="1100"/>
      <c r="L1" s="1100"/>
      <c r="M1" s="1100"/>
      <c r="N1" s="1100"/>
      <c r="O1" s="1100"/>
      <c r="P1" s="1101"/>
      <c r="Q1" s="475"/>
    </row>
    <row r="2" spans="1:17">
      <c r="A2" s="1099"/>
      <c r="B2" s="1102" t="s">
        <v>21</v>
      </c>
      <c r="C2" s="1104" t="s">
        <v>196</v>
      </c>
      <c r="D2" s="1106" t="s">
        <v>197</v>
      </c>
      <c r="E2" s="1107"/>
      <c r="F2" s="1107"/>
      <c r="G2" s="1107"/>
      <c r="H2" s="1107"/>
      <c r="I2" s="1107"/>
      <c r="J2" s="1107"/>
      <c r="K2" s="1103"/>
      <c r="L2" s="1106" t="s">
        <v>198</v>
      </c>
      <c r="M2" s="1107"/>
      <c r="N2" s="1107"/>
      <c r="O2" s="1107"/>
      <c r="P2" s="1103"/>
      <c r="Q2" s="475"/>
    </row>
    <row r="3" spans="1:17" ht="45">
      <c r="A3" s="1099"/>
      <c r="B3" s="1103"/>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15475.390359522984</v>
      </c>
      <c r="C4" s="478">
        <f>huishoudens!C8</f>
        <v>0</v>
      </c>
      <c r="D4" s="478">
        <f>huishoudens!D8</f>
        <v>17059.339988306852</v>
      </c>
      <c r="E4" s="478">
        <f>huishoudens!E8</f>
        <v>3684.1775839250017</v>
      </c>
      <c r="F4" s="478">
        <f>huishoudens!F8</f>
        <v>25795.088809584366</v>
      </c>
      <c r="G4" s="478">
        <f>huishoudens!G8</f>
        <v>0</v>
      </c>
      <c r="H4" s="478">
        <f>huishoudens!H8</f>
        <v>0</v>
      </c>
      <c r="I4" s="478">
        <f>huishoudens!I8</f>
        <v>0</v>
      </c>
      <c r="J4" s="478">
        <f>huishoudens!J8</f>
        <v>5451.2465491820458</v>
      </c>
      <c r="K4" s="478">
        <f>huishoudens!K8</f>
        <v>0</v>
      </c>
      <c r="L4" s="478">
        <f>huishoudens!L8</f>
        <v>0</v>
      </c>
      <c r="M4" s="478">
        <f>huishoudens!M8</f>
        <v>0</v>
      </c>
      <c r="N4" s="478">
        <f>huishoudens!N8</f>
        <v>9478.1543602413221</v>
      </c>
      <c r="O4" s="478">
        <f>huishoudens!O8</f>
        <v>218.86666666666667</v>
      </c>
      <c r="P4" s="479">
        <f>huishoudens!P8</f>
        <v>1182.1333333333332</v>
      </c>
      <c r="Q4" s="480">
        <f>SUM(B4:P4)</f>
        <v>78344.397650762578</v>
      </c>
    </row>
    <row r="5" spans="1:17">
      <c r="A5" s="477" t="s">
        <v>156</v>
      </c>
      <c r="B5" s="478">
        <f ca="1">tertiair!B16</f>
        <v>6338.0156578913356</v>
      </c>
      <c r="C5" s="478">
        <f ca="1">tertiair!C16</f>
        <v>0</v>
      </c>
      <c r="D5" s="478">
        <f ca="1">tertiair!D16</f>
        <v>4616.5484723159461</v>
      </c>
      <c r="E5" s="478">
        <f>tertiair!E16</f>
        <v>73.937416809334934</v>
      </c>
      <c r="F5" s="478">
        <f ca="1">tertiair!F16</f>
        <v>1120.3262604736974</v>
      </c>
      <c r="G5" s="478">
        <f>tertiair!G16</f>
        <v>0</v>
      </c>
      <c r="H5" s="478">
        <f>tertiair!H16</f>
        <v>0</v>
      </c>
      <c r="I5" s="478">
        <f>tertiair!I16</f>
        <v>0</v>
      </c>
      <c r="J5" s="478">
        <f>tertiair!J16</f>
        <v>3.1133722640680834E-2</v>
      </c>
      <c r="K5" s="478">
        <f>tertiair!K16</f>
        <v>0</v>
      </c>
      <c r="L5" s="478">
        <f ca="1">tertiair!L16</f>
        <v>0</v>
      </c>
      <c r="M5" s="478">
        <f>tertiair!M16</f>
        <v>0</v>
      </c>
      <c r="N5" s="478">
        <f ca="1">tertiair!N16</f>
        <v>455.64878727090934</v>
      </c>
      <c r="O5" s="478">
        <f>tertiair!O16</f>
        <v>9.3800000000000008</v>
      </c>
      <c r="P5" s="479">
        <f>tertiair!P16</f>
        <v>0</v>
      </c>
      <c r="Q5" s="477">
        <f t="shared" ref="Q5:Q13" ca="1" si="0">SUM(B5:P5)</f>
        <v>12613.887728483864</v>
      </c>
    </row>
    <row r="6" spans="1:17">
      <c r="A6" s="477" t="s">
        <v>194</v>
      </c>
      <c r="B6" s="478">
        <f>'openbare verlichting'!B8</f>
        <v>557.23400000000004</v>
      </c>
      <c r="C6" s="478"/>
      <c r="D6" s="478"/>
      <c r="E6" s="478"/>
      <c r="F6" s="478"/>
      <c r="G6" s="478"/>
      <c r="H6" s="478"/>
      <c r="I6" s="478"/>
      <c r="J6" s="478"/>
      <c r="K6" s="478"/>
      <c r="L6" s="478"/>
      <c r="M6" s="478"/>
      <c r="N6" s="478"/>
      <c r="O6" s="478"/>
      <c r="P6" s="479"/>
      <c r="Q6" s="477">
        <f t="shared" si="0"/>
        <v>557.23400000000004</v>
      </c>
    </row>
    <row r="7" spans="1:17">
      <c r="A7" s="477" t="s">
        <v>112</v>
      </c>
      <c r="B7" s="478">
        <f>landbouw!B8</f>
        <v>1000.112660579877</v>
      </c>
      <c r="C7" s="478">
        <f>landbouw!C8</f>
        <v>0</v>
      </c>
      <c r="D7" s="478">
        <f>landbouw!D8</f>
        <v>569.33521424423668</v>
      </c>
      <c r="E7" s="478">
        <f>landbouw!E8</f>
        <v>29.396365791085653</v>
      </c>
      <c r="F7" s="478">
        <f>landbouw!F8</f>
        <v>4166.4153007241939</v>
      </c>
      <c r="G7" s="478">
        <f>landbouw!G8</f>
        <v>0</v>
      </c>
      <c r="H7" s="478">
        <f>landbouw!H8</f>
        <v>0</v>
      </c>
      <c r="I7" s="478">
        <f>landbouw!I8</f>
        <v>0</v>
      </c>
      <c r="J7" s="478">
        <f>landbouw!J8</f>
        <v>144.8948468527858</v>
      </c>
      <c r="K7" s="478">
        <f>landbouw!K8</f>
        <v>0</v>
      </c>
      <c r="L7" s="478">
        <f>landbouw!L8</f>
        <v>0</v>
      </c>
      <c r="M7" s="478">
        <f>landbouw!M8</f>
        <v>0</v>
      </c>
      <c r="N7" s="478">
        <f>landbouw!N8</f>
        <v>0</v>
      </c>
      <c r="O7" s="478">
        <f>landbouw!O8</f>
        <v>0</v>
      </c>
      <c r="P7" s="479">
        <f>landbouw!P8</f>
        <v>0</v>
      </c>
      <c r="Q7" s="477">
        <f t="shared" si="0"/>
        <v>5910.1543881921789</v>
      </c>
    </row>
    <row r="8" spans="1:17">
      <c r="A8" s="477" t="s">
        <v>635</v>
      </c>
      <c r="B8" s="478">
        <f>industrie!B18</f>
        <v>1508.4809738847873</v>
      </c>
      <c r="C8" s="478">
        <f>industrie!C18</f>
        <v>0</v>
      </c>
      <c r="D8" s="478">
        <f>industrie!D18</f>
        <v>513.87550940976712</v>
      </c>
      <c r="E8" s="478">
        <f>industrie!E18</f>
        <v>188.69186756967406</v>
      </c>
      <c r="F8" s="478">
        <f>industrie!F18</f>
        <v>568.06111295334665</v>
      </c>
      <c r="G8" s="478">
        <f>industrie!G18</f>
        <v>0</v>
      </c>
      <c r="H8" s="478">
        <f>industrie!H18</f>
        <v>0</v>
      </c>
      <c r="I8" s="478">
        <f>industrie!I18</f>
        <v>0</v>
      </c>
      <c r="J8" s="478">
        <f>industrie!J18</f>
        <v>3.3747049433600247</v>
      </c>
      <c r="K8" s="478">
        <f>industrie!K18</f>
        <v>0</v>
      </c>
      <c r="L8" s="478">
        <f>industrie!L18</f>
        <v>0</v>
      </c>
      <c r="M8" s="478">
        <f>industrie!M18</f>
        <v>0</v>
      </c>
      <c r="N8" s="478">
        <f>industrie!N18</f>
        <v>372.50482394102005</v>
      </c>
      <c r="O8" s="478">
        <f>industrie!O18</f>
        <v>0</v>
      </c>
      <c r="P8" s="479">
        <f>industrie!P18</f>
        <v>0</v>
      </c>
      <c r="Q8" s="477">
        <f t="shared" si="0"/>
        <v>3154.9889927019549</v>
      </c>
    </row>
    <row r="9" spans="1:17" s="483" customFormat="1">
      <c r="A9" s="481" t="s">
        <v>561</v>
      </c>
      <c r="B9" s="482">
        <f>transport!B14</f>
        <v>25.595024930935065</v>
      </c>
      <c r="C9" s="482">
        <f>transport!C14</f>
        <v>0</v>
      </c>
      <c r="D9" s="482">
        <f>transport!D14</f>
        <v>89.729770118199085</v>
      </c>
      <c r="E9" s="482">
        <f>transport!E14</f>
        <v>119.59428181291534</v>
      </c>
      <c r="F9" s="482">
        <f>transport!F14</f>
        <v>0</v>
      </c>
      <c r="G9" s="482">
        <f>transport!G14</f>
        <v>42335.522567751723</v>
      </c>
      <c r="H9" s="482">
        <f>transport!H14</f>
        <v>10112.567114439091</v>
      </c>
      <c r="I9" s="482">
        <f>transport!I14</f>
        <v>0</v>
      </c>
      <c r="J9" s="482">
        <f>transport!J14</f>
        <v>0</v>
      </c>
      <c r="K9" s="482">
        <f>transport!K14</f>
        <v>0</v>
      </c>
      <c r="L9" s="482">
        <f>transport!L14</f>
        <v>0</v>
      </c>
      <c r="M9" s="482">
        <f>transport!M14</f>
        <v>2773.6064320534283</v>
      </c>
      <c r="N9" s="482">
        <f>transport!N14</f>
        <v>0</v>
      </c>
      <c r="O9" s="482">
        <f>transport!O14</f>
        <v>0</v>
      </c>
      <c r="P9" s="482">
        <f>transport!P14</f>
        <v>0</v>
      </c>
      <c r="Q9" s="481">
        <f>SUM(B9:P9)</f>
        <v>55456.615191106284</v>
      </c>
    </row>
    <row r="10" spans="1:17">
      <c r="A10" s="477" t="s">
        <v>551</v>
      </c>
      <c r="B10" s="478">
        <f>transport!B54</f>
        <v>0</v>
      </c>
      <c r="C10" s="478">
        <f>transport!C54</f>
        <v>0</v>
      </c>
      <c r="D10" s="478">
        <f>transport!D54</f>
        <v>0</v>
      </c>
      <c r="E10" s="478">
        <f>transport!E54</f>
        <v>0</v>
      </c>
      <c r="F10" s="478">
        <f>transport!F54</f>
        <v>0</v>
      </c>
      <c r="G10" s="478">
        <f>transport!G54</f>
        <v>733.14732715932757</v>
      </c>
      <c r="H10" s="478">
        <f>transport!H54</f>
        <v>0</v>
      </c>
      <c r="I10" s="478">
        <f>transport!I54</f>
        <v>0</v>
      </c>
      <c r="J10" s="478">
        <f>transport!J54</f>
        <v>0</v>
      </c>
      <c r="K10" s="478">
        <f>transport!K54</f>
        <v>0</v>
      </c>
      <c r="L10" s="478">
        <f>transport!L54</f>
        <v>0</v>
      </c>
      <c r="M10" s="478">
        <f>transport!M54</f>
        <v>41.639531647772927</v>
      </c>
      <c r="N10" s="478">
        <f>transport!N54</f>
        <v>0</v>
      </c>
      <c r="O10" s="478">
        <f>transport!O54</f>
        <v>0</v>
      </c>
      <c r="P10" s="479">
        <f>transport!P54</f>
        <v>0</v>
      </c>
      <c r="Q10" s="477">
        <f t="shared" si="0"/>
        <v>774.78685880710054</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f>'Eigen vloot'!C27</f>
        <v>0</v>
      </c>
      <c r="D13" s="485">
        <f>'Eigen vloot'!D27</f>
        <v>0</v>
      </c>
      <c r="E13" s="485">
        <f>'Eigen vloot'!E27</f>
        <v>0</v>
      </c>
      <c r="F13" s="485">
        <f>'Eigen vloot'!F27</f>
        <v>0</v>
      </c>
      <c r="G13" s="485">
        <f>'Eigen vloot'!G27</f>
        <v>0</v>
      </c>
      <c r="H13" s="485">
        <f>'Eigen vloot'!H27</f>
        <v>0</v>
      </c>
      <c r="I13" s="485">
        <f>'Eigen vloot'!I27</f>
        <v>0</v>
      </c>
      <c r="J13" s="485">
        <f>'Eigen vloot'!J27</f>
        <v>0</v>
      </c>
      <c r="K13" s="485">
        <f>'Eigen vloot'!K27</f>
        <v>0</v>
      </c>
      <c r="L13" s="485">
        <f>'Eigen vloot'!L27</f>
        <v>0</v>
      </c>
      <c r="M13" s="485">
        <f>'Eigen vloot'!M27</f>
        <v>0</v>
      </c>
      <c r="N13" s="485">
        <f>'Eigen vloot'!N27</f>
        <v>0</v>
      </c>
      <c r="O13" s="485">
        <f>'Eigen vloot'!O27</f>
        <v>0</v>
      </c>
      <c r="P13" s="486">
        <f>'Eigen vloot'!P27</f>
        <v>0</v>
      </c>
      <c r="Q13" s="484">
        <f t="shared" si="0"/>
        <v>0</v>
      </c>
    </row>
    <row r="14" spans="1:17" s="490" customFormat="1">
      <c r="A14" s="487" t="s">
        <v>555</v>
      </c>
      <c r="B14" s="488">
        <f ca="1">SUM(B4:B13)</f>
        <v>24904.828676809921</v>
      </c>
      <c r="C14" s="488">
        <f t="shared" ref="C14:Q14" ca="1" si="1">SUM(C4:C13)</f>
        <v>0</v>
      </c>
      <c r="D14" s="488">
        <f t="shared" ca="1" si="1"/>
        <v>22848.828954395005</v>
      </c>
      <c r="E14" s="488">
        <f t="shared" si="1"/>
        <v>4095.7975159080115</v>
      </c>
      <c r="F14" s="488">
        <f t="shared" ca="1" si="1"/>
        <v>31649.891483735606</v>
      </c>
      <c r="G14" s="488">
        <f t="shared" si="1"/>
        <v>43068.669894911051</v>
      </c>
      <c r="H14" s="488">
        <f t="shared" si="1"/>
        <v>10112.567114439091</v>
      </c>
      <c r="I14" s="488">
        <f t="shared" si="1"/>
        <v>0</v>
      </c>
      <c r="J14" s="488">
        <f t="shared" si="1"/>
        <v>5599.5472347008317</v>
      </c>
      <c r="K14" s="488">
        <f t="shared" si="1"/>
        <v>0</v>
      </c>
      <c r="L14" s="488">
        <f t="shared" ca="1" si="1"/>
        <v>0</v>
      </c>
      <c r="M14" s="488">
        <f t="shared" si="1"/>
        <v>2815.2459637012012</v>
      </c>
      <c r="N14" s="488">
        <f t="shared" ca="1" si="1"/>
        <v>10306.307971453252</v>
      </c>
      <c r="O14" s="488">
        <f t="shared" si="1"/>
        <v>228.24666666666667</v>
      </c>
      <c r="P14" s="489">
        <f t="shared" si="1"/>
        <v>1182.1333333333332</v>
      </c>
      <c r="Q14" s="489">
        <f t="shared" ca="1" si="1"/>
        <v>156812.06481005397</v>
      </c>
    </row>
    <row r="16" spans="1:17">
      <c r="A16" s="491" t="s">
        <v>556</v>
      </c>
      <c r="B16" s="841">
        <f ca="1">huishoudens!B10</f>
        <v>0.19771131804630243</v>
      </c>
      <c r="C16" s="841">
        <f ca="1">huishoudens!C10</f>
        <v>0</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099" t="s">
        <v>558</v>
      </c>
      <c r="B18" s="1100" t="s">
        <v>557</v>
      </c>
      <c r="C18" s="1100"/>
      <c r="D18" s="1100"/>
      <c r="E18" s="1100"/>
      <c r="F18" s="1100"/>
      <c r="G18" s="1100"/>
      <c r="H18" s="1100"/>
      <c r="I18" s="1100"/>
      <c r="J18" s="1100"/>
      <c r="K18" s="1100"/>
      <c r="L18" s="1100"/>
      <c r="M18" s="1100"/>
      <c r="N18" s="1100"/>
      <c r="O18" s="1100"/>
      <c r="P18" s="1101"/>
      <c r="Q18" s="475"/>
    </row>
    <row r="19" spans="1:17" ht="15" customHeight="1">
      <c r="A19" s="1099"/>
      <c r="B19" s="1102" t="s">
        <v>21</v>
      </c>
      <c r="C19" s="1104" t="s">
        <v>196</v>
      </c>
      <c r="D19" s="1106" t="s">
        <v>197</v>
      </c>
      <c r="E19" s="1107"/>
      <c r="F19" s="1107"/>
      <c r="G19" s="1107"/>
      <c r="H19" s="1107"/>
      <c r="I19" s="1107"/>
      <c r="J19" s="1107"/>
      <c r="K19" s="1103"/>
      <c r="L19" s="1106" t="s">
        <v>198</v>
      </c>
      <c r="M19" s="1107"/>
      <c r="N19" s="1107"/>
      <c r="O19" s="1107"/>
      <c r="P19" s="1103"/>
      <c r="Q19" s="475"/>
    </row>
    <row r="20" spans="1:17" ht="45">
      <c r="A20" s="1099"/>
      <c r="B20" s="1103"/>
      <c r="C20" s="110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3059.6598252623312</v>
      </c>
      <c r="C21" s="478">
        <f t="shared" ref="C21:C30" ca="1" si="3">C4*$C$16</f>
        <v>0</v>
      </c>
      <c r="D21" s="478">
        <f t="shared" ref="D21:D30" si="4">D4*$D$16</f>
        <v>3445.9866776379845</v>
      </c>
      <c r="E21" s="478">
        <f t="shared" ref="E21:E30" si="5">E4*$E$16</f>
        <v>836.30831155097542</v>
      </c>
      <c r="F21" s="478">
        <f t="shared" ref="F21:F30" si="6">F4*$F$16</f>
        <v>6887.2887121590256</v>
      </c>
      <c r="G21" s="478">
        <f t="shared" ref="G21:G30" si="7">G4*$G$16</f>
        <v>0</v>
      </c>
      <c r="H21" s="478">
        <f t="shared" ref="H21:H30" si="8">H4*$H$16</f>
        <v>0</v>
      </c>
      <c r="I21" s="478">
        <f t="shared" ref="I21:I30" si="9">I4*$I$16</f>
        <v>0</v>
      </c>
      <c r="J21" s="478">
        <f t="shared" ref="J21:J30" si="10">J4*$J$16</f>
        <v>1929.741278410444</v>
      </c>
      <c r="K21" s="478">
        <f t="shared" ref="K21:K30" si="11">K4*$K$16</f>
        <v>0</v>
      </c>
      <c r="L21" s="478">
        <f t="shared" ref="L21:L30" si="12">L4*$L$16</f>
        <v>0</v>
      </c>
      <c r="M21" s="478">
        <f t="shared" ref="M21:M30" si="13">M4*$M$16</f>
        <v>0</v>
      </c>
      <c r="N21" s="478">
        <f t="shared" ref="N21:N30" si="14">N4*$N$16</f>
        <v>0</v>
      </c>
      <c r="O21" s="478">
        <f t="shared" ref="O21:O30" si="15">O4*$O$16</f>
        <v>0</v>
      </c>
      <c r="P21" s="492">
        <f t="shared" ref="P21:P30" si="16">P4*$P$16</f>
        <v>0</v>
      </c>
      <c r="Q21" s="480">
        <f ca="1">SUM(B21:P21)</f>
        <v>16158.98480502076</v>
      </c>
    </row>
    <row r="22" spans="1:17">
      <c r="A22" s="477" t="s">
        <v>156</v>
      </c>
      <c r="B22" s="478">
        <f t="shared" ca="1" si="2"/>
        <v>1253.0974295197987</v>
      </c>
      <c r="C22" s="478">
        <f t="shared" ca="1" si="3"/>
        <v>0</v>
      </c>
      <c r="D22" s="478">
        <f t="shared" ca="1" si="4"/>
        <v>932.54279140782114</v>
      </c>
      <c r="E22" s="478">
        <f t="shared" si="5"/>
        <v>16.783793615719031</v>
      </c>
      <c r="F22" s="478">
        <f t="shared" ca="1" si="6"/>
        <v>299.12711154647724</v>
      </c>
      <c r="G22" s="478">
        <f t="shared" si="7"/>
        <v>0</v>
      </c>
      <c r="H22" s="478">
        <f t="shared" si="8"/>
        <v>0</v>
      </c>
      <c r="I22" s="478">
        <f t="shared" si="9"/>
        <v>0</v>
      </c>
      <c r="J22" s="478">
        <f t="shared" si="10"/>
        <v>1.1021337814801014E-2</v>
      </c>
      <c r="K22" s="478">
        <f t="shared" si="11"/>
        <v>0</v>
      </c>
      <c r="L22" s="478">
        <f t="shared" ca="1" si="12"/>
        <v>0</v>
      </c>
      <c r="M22" s="478">
        <f t="shared" si="13"/>
        <v>0</v>
      </c>
      <c r="N22" s="478">
        <f t="shared" ca="1" si="14"/>
        <v>0</v>
      </c>
      <c r="O22" s="478">
        <f t="shared" si="15"/>
        <v>0</v>
      </c>
      <c r="P22" s="479">
        <f t="shared" si="16"/>
        <v>0</v>
      </c>
      <c r="Q22" s="477">
        <f t="shared" ref="Q22:Q30" ca="1" si="17">SUM(B22:P22)</f>
        <v>2501.5621474276309</v>
      </c>
    </row>
    <row r="23" spans="1:17">
      <c r="A23" s="477" t="s">
        <v>194</v>
      </c>
      <c r="B23" s="478">
        <f t="shared" ca="1" si="2"/>
        <v>110.1714686002133</v>
      </c>
      <c r="C23" s="478">
        <f t="shared" ca="1" si="3"/>
        <v>0</v>
      </c>
      <c r="D23" s="478">
        <f t="shared" si="4"/>
        <v>0</v>
      </c>
      <c r="E23" s="478">
        <f t="shared" si="5"/>
        <v>0</v>
      </c>
      <c r="F23" s="478">
        <f t="shared" si="6"/>
        <v>0</v>
      </c>
      <c r="G23" s="478">
        <f t="shared" si="7"/>
        <v>0</v>
      </c>
      <c r="H23" s="478">
        <f t="shared" si="8"/>
        <v>0</v>
      </c>
      <c r="I23" s="478">
        <f t="shared" si="9"/>
        <v>0</v>
      </c>
      <c r="J23" s="478">
        <f t="shared" si="10"/>
        <v>0</v>
      </c>
      <c r="K23" s="478">
        <f t="shared" si="11"/>
        <v>0</v>
      </c>
      <c r="L23" s="478">
        <f t="shared" si="12"/>
        <v>0</v>
      </c>
      <c r="M23" s="478">
        <f t="shared" si="13"/>
        <v>0</v>
      </c>
      <c r="N23" s="478">
        <f t="shared" si="14"/>
        <v>0</v>
      </c>
      <c r="O23" s="478">
        <f t="shared" si="15"/>
        <v>0</v>
      </c>
      <c r="P23" s="479">
        <f t="shared" si="16"/>
        <v>0</v>
      </c>
      <c r="Q23" s="477">
        <f t="shared" ca="1" si="17"/>
        <v>110.1714686002133</v>
      </c>
    </row>
    <row r="24" spans="1:17">
      <c r="A24" s="477" t="s">
        <v>112</v>
      </c>
      <c r="B24" s="478">
        <f t="shared" ca="1" si="2"/>
        <v>197.73359231804179</v>
      </c>
      <c r="C24" s="478">
        <f t="shared" ca="1" si="3"/>
        <v>0</v>
      </c>
      <c r="D24" s="478">
        <f t="shared" si="4"/>
        <v>115.00571327733581</v>
      </c>
      <c r="E24" s="478">
        <f t="shared" si="5"/>
        <v>6.6729750345764431</v>
      </c>
      <c r="F24" s="478">
        <f t="shared" si="6"/>
        <v>1112.4328852933597</v>
      </c>
      <c r="G24" s="478">
        <f t="shared" si="7"/>
        <v>0</v>
      </c>
      <c r="H24" s="478">
        <f t="shared" si="8"/>
        <v>0</v>
      </c>
      <c r="I24" s="478">
        <f t="shared" si="9"/>
        <v>0</v>
      </c>
      <c r="J24" s="478">
        <f t="shared" si="10"/>
        <v>51.292775785886171</v>
      </c>
      <c r="K24" s="478">
        <f t="shared" si="11"/>
        <v>0</v>
      </c>
      <c r="L24" s="478">
        <f t="shared" si="12"/>
        <v>0</v>
      </c>
      <c r="M24" s="478">
        <f t="shared" si="13"/>
        <v>0</v>
      </c>
      <c r="N24" s="478">
        <f t="shared" si="14"/>
        <v>0</v>
      </c>
      <c r="O24" s="478">
        <f t="shared" si="15"/>
        <v>0</v>
      </c>
      <c r="P24" s="479">
        <f t="shared" si="16"/>
        <v>0</v>
      </c>
      <c r="Q24" s="477">
        <f t="shared" ca="1" si="17"/>
        <v>1483.1379417091998</v>
      </c>
    </row>
    <row r="25" spans="1:17">
      <c r="A25" s="477" t="s">
        <v>635</v>
      </c>
      <c r="B25" s="478">
        <f t="shared" ca="1" si="2"/>
        <v>298.24376159453124</v>
      </c>
      <c r="C25" s="478">
        <f t="shared" ca="1" si="3"/>
        <v>0</v>
      </c>
      <c r="D25" s="478">
        <f t="shared" si="4"/>
        <v>103.80285290077296</v>
      </c>
      <c r="E25" s="478">
        <f t="shared" si="5"/>
        <v>42.833053938316013</v>
      </c>
      <c r="F25" s="478">
        <f t="shared" si="6"/>
        <v>151.67231715854356</v>
      </c>
      <c r="G25" s="478">
        <f t="shared" si="7"/>
        <v>0</v>
      </c>
      <c r="H25" s="478">
        <f t="shared" si="8"/>
        <v>0</v>
      </c>
      <c r="I25" s="478">
        <f t="shared" si="9"/>
        <v>0</v>
      </c>
      <c r="J25" s="478">
        <f t="shared" si="10"/>
        <v>1.1946455499494486</v>
      </c>
      <c r="K25" s="478">
        <f t="shared" si="11"/>
        <v>0</v>
      </c>
      <c r="L25" s="478">
        <f t="shared" si="12"/>
        <v>0</v>
      </c>
      <c r="M25" s="478">
        <f t="shared" si="13"/>
        <v>0</v>
      </c>
      <c r="N25" s="478">
        <f t="shared" si="14"/>
        <v>0</v>
      </c>
      <c r="O25" s="478">
        <f t="shared" si="15"/>
        <v>0</v>
      </c>
      <c r="P25" s="479">
        <f t="shared" si="16"/>
        <v>0</v>
      </c>
      <c r="Q25" s="477">
        <f t="shared" ca="1" si="17"/>
        <v>597.74663114211319</v>
      </c>
    </row>
    <row r="26" spans="1:17" s="483" customFormat="1">
      <c r="A26" s="481" t="s">
        <v>561</v>
      </c>
      <c r="B26" s="835">
        <f t="shared" ca="1" si="2"/>
        <v>5.0604261145231426</v>
      </c>
      <c r="C26" s="482">
        <f t="shared" ca="1" si="3"/>
        <v>0</v>
      </c>
      <c r="D26" s="482">
        <f t="shared" si="4"/>
        <v>18.125413563876215</v>
      </c>
      <c r="E26" s="482">
        <f t="shared" si="5"/>
        <v>27.147901971531784</v>
      </c>
      <c r="F26" s="482">
        <f t="shared" si="6"/>
        <v>0</v>
      </c>
      <c r="G26" s="482">
        <f t="shared" si="7"/>
        <v>11303.584525589711</v>
      </c>
      <c r="H26" s="482">
        <f t="shared" si="8"/>
        <v>2518.0292114953336</v>
      </c>
      <c r="I26" s="482">
        <f t="shared" si="9"/>
        <v>0</v>
      </c>
      <c r="J26" s="482">
        <f t="shared" si="10"/>
        <v>0</v>
      </c>
      <c r="K26" s="482">
        <f t="shared" si="11"/>
        <v>0</v>
      </c>
      <c r="L26" s="482">
        <f t="shared" si="12"/>
        <v>0</v>
      </c>
      <c r="M26" s="482">
        <f t="shared" si="13"/>
        <v>0</v>
      </c>
      <c r="N26" s="482">
        <f t="shared" si="14"/>
        <v>0</v>
      </c>
      <c r="O26" s="482">
        <f t="shared" si="15"/>
        <v>0</v>
      </c>
      <c r="P26" s="493">
        <f t="shared" si="16"/>
        <v>0</v>
      </c>
      <c r="Q26" s="481">
        <f t="shared" ca="1" si="17"/>
        <v>13871.947478734975</v>
      </c>
    </row>
    <row r="27" spans="1:17">
      <c r="A27" s="477" t="s">
        <v>551</v>
      </c>
      <c r="B27" s="478">
        <f t="shared" ca="1" si="2"/>
        <v>0</v>
      </c>
      <c r="C27" s="478">
        <f t="shared" ca="1" si="3"/>
        <v>0</v>
      </c>
      <c r="D27" s="478">
        <f t="shared" si="4"/>
        <v>0</v>
      </c>
      <c r="E27" s="478">
        <f t="shared" si="5"/>
        <v>0</v>
      </c>
      <c r="F27" s="478">
        <f t="shared" si="6"/>
        <v>0</v>
      </c>
      <c r="G27" s="478">
        <f t="shared" si="7"/>
        <v>195.75033635154048</v>
      </c>
      <c r="H27" s="478">
        <f t="shared" si="8"/>
        <v>0</v>
      </c>
      <c r="I27" s="478">
        <f t="shared" si="9"/>
        <v>0</v>
      </c>
      <c r="J27" s="478">
        <f t="shared" si="10"/>
        <v>0</v>
      </c>
      <c r="K27" s="478">
        <f t="shared" si="11"/>
        <v>0</v>
      </c>
      <c r="L27" s="478">
        <f t="shared" si="12"/>
        <v>0</v>
      </c>
      <c r="M27" s="478">
        <f t="shared" si="13"/>
        <v>0</v>
      </c>
      <c r="N27" s="478">
        <f t="shared" si="14"/>
        <v>0</v>
      </c>
      <c r="O27" s="478">
        <f t="shared" si="15"/>
        <v>0</v>
      </c>
      <c r="P27" s="479">
        <f t="shared" si="16"/>
        <v>0</v>
      </c>
      <c r="Q27" s="477">
        <f t="shared" ca="1" si="17"/>
        <v>195.75033635154048</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84" t="s">
        <v>554</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s="490" customFormat="1">
      <c r="A31" s="487" t="s">
        <v>555</v>
      </c>
      <c r="B31" s="488">
        <f t="shared" ref="B31:Q31" ca="1" si="18">SUM(B21:B30)</f>
        <v>4923.9665034094396</v>
      </c>
      <c r="C31" s="488">
        <f t="shared" ca="1" si="18"/>
        <v>0</v>
      </c>
      <c r="D31" s="488">
        <f t="shared" ca="1" si="18"/>
        <v>4615.4634487877911</v>
      </c>
      <c r="E31" s="488">
        <f t="shared" si="18"/>
        <v>929.74603611111866</v>
      </c>
      <c r="F31" s="488">
        <f t="shared" ca="1" si="18"/>
        <v>8450.5210261574066</v>
      </c>
      <c r="G31" s="488">
        <f t="shared" si="18"/>
        <v>11499.334861941252</v>
      </c>
      <c r="H31" s="488">
        <f t="shared" si="18"/>
        <v>2518.0292114953336</v>
      </c>
      <c r="I31" s="488">
        <f t="shared" si="18"/>
        <v>0</v>
      </c>
      <c r="J31" s="488">
        <f t="shared" si="18"/>
        <v>1982.2397210840943</v>
      </c>
      <c r="K31" s="488">
        <f t="shared" si="18"/>
        <v>0</v>
      </c>
      <c r="L31" s="488">
        <f t="shared" ca="1" si="18"/>
        <v>0</v>
      </c>
      <c r="M31" s="488">
        <f t="shared" si="18"/>
        <v>0</v>
      </c>
      <c r="N31" s="488">
        <f t="shared" ca="1" si="18"/>
        <v>0</v>
      </c>
      <c r="O31" s="488">
        <f t="shared" si="18"/>
        <v>0</v>
      </c>
      <c r="P31" s="489">
        <f t="shared" si="18"/>
        <v>0</v>
      </c>
      <c r="Q31" s="489">
        <f t="shared" ca="1" si="18"/>
        <v>34919.300808986431</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0.19771131804630243</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1</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1.5633333333333335</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14"/>
      <c r="P13" s="1114"/>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0.19771131804630243</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099" t="s">
        <v>328</v>
      </c>
      <c r="B1" s="1108" t="s">
        <v>195</v>
      </c>
      <c r="C1" s="1109"/>
      <c r="D1" s="1109"/>
      <c r="E1" s="1109"/>
      <c r="F1" s="1109"/>
      <c r="G1" s="1109"/>
      <c r="H1" s="1109"/>
      <c r="I1" s="1109"/>
      <c r="J1" s="1109"/>
      <c r="K1" s="1109"/>
      <c r="L1" s="1109"/>
      <c r="M1" s="1109"/>
      <c r="N1" s="1109"/>
      <c r="O1" s="1109"/>
      <c r="P1" s="1109"/>
    </row>
    <row r="2" spans="1:16" ht="15" customHeight="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0.19771131804630243</v>
      </c>
      <c r="C29" s="529">
        <f ca="1">'EF ele_warmte'!B22</f>
        <v>0</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15"/>
      <c r="K10" s="58"/>
    </row>
    <row r="11" spans="1:11" s="43" customFormat="1">
      <c r="A11" s="44" t="s">
        <v>565</v>
      </c>
      <c r="B11" s="47"/>
      <c r="D11" s="142" t="s">
        <v>392</v>
      </c>
      <c r="I11" s="1115"/>
      <c r="K11" s="58"/>
    </row>
    <row r="12" spans="1:11" s="43" customFormat="1">
      <c r="A12" s="44" t="s">
        <v>566</v>
      </c>
      <c r="B12" s="47"/>
      <c r="D12" s="142" t="s">
        <v>392</v>
      </c>
      <c r="I12" s="1115"/>
      <c r="K12" s="58"/>
    </row>
    <row r="13" spans="1:11" s="43" customFormat="1">
      <c r="A13" s="44"/>
      <c r="B13" s="478"/>
      <c r="D13" s="96"/>
      <c r="I13" s="1115"/>
    </row>
    <row r="14" spans="1:11" s="43" customFormat="1">
      <c r="A14" s="304" t="s">
        <v>563</v>
      </c>
      <c r="B14" s="531"/>
      <c r="C14" s="141" t="s">
        <v>182</v>
      </c>
      <c r="D14" s="144" t="s">
        <v>391</v>
      </c>
      <c r="I14" s="1115"/>
    </row>
    <row r="15" spans="1:11" s="43" customFormat="1">
      <c r="A15" s="44" t="s">
        <v>71</v>
      </c>
      <c r="B15" s="47"/>
      <c r="D15" s="142" t="s">
        <v>392</v>
      </c>
      <c r="I15" s="1115"/>
      <c r="J15" s="1115"/>
    </row>
    <row r="16" spans="1:11" s="43" customFormat="1">
      <c r="A16" s="44" t="s">
        <v>527</v>
      </c>
      <c r="B16" s="47"/>
      <c r="D16" s="142" t="s">
        <v>392</v>
      </c>
      <c r="I16" s="1115"/>
      <c r="J16" s="1115"/>
    </row>
    <row r="17" spans="1:11" s="43" customFormat="1">
      <c r="A17" s="44" t="s">
        <v>78</v>
      </c>
      <c r="B17" s="47"/>
      <c r="D17" s="142" t="s">
        <v>392</v>
      </c>
      <c r="I17" s="1115"/>
      <c r="J17" s="1115"/>
    </row>
    <row r="18" spans="1:11" s="43" customFormat="1">
      <c r="A18" s="44" t="s">
        <v>528</v>
      </c>
      <c r="B18" s="47"/>
      <c r="D18" s="142" t="s">
        <v>392</v>
      </c>
      <c r="I18" s="1115"/>
      <c r="J18" s="1115"/>
      <c r="K18" s="58"/>
    </row>
    <row r="19" spans="1:11" s="43" customFormat="1">
      <c r="A19" s="44" t="s">
        <v>77</v>
      </c>
      <c r="B19" s="47"/>
      <c r="D19" s="142" t="s">
        <v>392</v>
      </c>
      <c r="I19" s="1115"/>
      <c r="J19" s="1116"/>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15"/>
      <c r="J35" s="1115"/>
    </row>
    <row r="36" spans="1:11" s="43" customFormat="1">
      <c r="A36" s="466" t="s">
        <v>527</v>
      </c>
      <c r="B36" s="47"/>
      <c r="D36" s="142" t="s">
        <v>392</v>
      </c>
      <c r="I36" s="1115"/>
      <c r="J36" s="1115"/>
    </row>
    <row r="37" spans="1:11" s="43" customFormat="1">
      <c r="A37" s="466" t="s">
        <v>78</v>
      </c>
      <c r="B37" s="47"/>
      <c r="D37" s="142" t="s">
        <v>392</v>
      </c>
      <c r="I37" s="1115"/>
      <c r="J37" s="1115"/>
    </row>
    <row r="38" spans="1:11" s="43" customFormat="1">
      <c r="A38" s="466" t="s">
        <v>528</v>
      </c>
      <c r="B38" s="47"/>
      <c r="D38" s="142" t="s">
        <v>392</v>
      </c>
      <c r="I38" s="1115"/>
      <c r="J38" s="1115"/>
      <c r="K38" s="58"/>
    </row>
    <row r="39" spans="1:11" s="43" customFormat="1">
      <c r="A39" s="466" t="s">
        <v>77</v>
      </c>
      <c r="B39" s="47"/>
      <c r="D39" s="142" t="s">
        <v>392</v>
      </c>
      <c r="I39" s="1115"/>
      <c r="J39" s="1116"/>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217</vt:i4>
      </vt:variant>
    </vt:vector>
  </HeadingPairs>
  <TitlesOfParts>
    <vt:vector size="250" baseType="lpstr">
      <vt:lpstr>LEGENDE</vt:lpstr>
      <vt:lpstr>OUTPUT--&gt;</vt:lpstr>
      <vt:lpstr>SEAP template</vt:lpstr>
      <vt:lpstr>Inventaris 2016</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2018-09-06T12:48:56Z</dcterms:modified>
</cp:coreProperties>
</file>