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P8" i="48"/>
  <c r="P25" s="1"/>
  <c r="D18" i="16"/>
  <c r="D22" s="1"/>
  <c r="E39" i="14" s="1"/>
  <c r="G31" i="20"/>
  <c r="H43" i="14" s="1"/>
  <c r="G12" i="22"/>
  <c r="D16" i="15"/>
  <c r="D20" s="1"/>
  <c r="K22" i="14"/>
  <c r="E8" i="17"/>
  <c r="F22" i="14" s="1"/>
  <c r="O18" i="16"/>
  <c r="O22" s="1"/>
  <c r="P39" i="14" s="1"/>
  <c r="B36" i="13"/>
  <c r="H13" i="48"/>
  <c r="H30" s="1"/>
  <c r="H12" i="22"/>
  <c r="B34" i="13"/>
  <c r="N8" i="17"/>
  <c r="N12" s="1"/>
  <c r="O48" i="14" s="1"/>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3" i="14" l="1"/>
  <c r="N7" i="48"/>
  <c r="N24" s="1"/>
  <c r="E7"/>
  <c r="E24" s="1"/>
  <c r="P31"/>
  <c r="E12" i="17"/>
  <c r="F48" i="14" s="1"/>
  <c r="O8" i="48"/>
  <c r="O25" s="1"/>
  <c r="J16" i="15"/>
  <c r="K10" i="14" s="1"/>
  <c r="E16" i="15"/>
  <c r="F10" i="14" s="1"/>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P55" i="14"/>
  <c r="E15"/>
  <c r="E23"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4" i="48"/>
  <c r="N22"/>
  <c r="R11" i="14"/>
  <c r="J21" i="48"/>
  <c r="R10" i="14"/>
  <c r="Q5" i="48" l="1"/>
  <c r="F22" i="16"/>
  <c r="G39" i="14" s="1"/>
  <c r="G41" s="1"/>
  <c r="G53" s="1"/>
  <c r="G55" s="1"/>
  <c r="O69" s="1"/>
  <c r="B9" i="6" s="1"/>
  <c r="B12" s="1"/>
  <c r="O13" i="14"/>
  <c r="O15"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<sst xmlns="http://schemas.openxmlformats.org/spreadsheetml/2006/main" count="1914" uniqueCount="809">
  <si>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</si>
  <si>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</si>
  <si>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</si>
  <si>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</si>
  <si>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</si>
  <si>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</si>
  <si>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</si>
  <si>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</si>
  <si>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</si>
  <si>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</si>
  <si>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</si>
  <si>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</si>
  <si>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</si>
  <si>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</si>
  <si>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</si>
  <si>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</si>
  <si>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</si>
  <si>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</si>
  <si>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</si>
  <si>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</si>
  <si>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</si>
  <si>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</si>
  <si>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</si>
  <si>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</si>
  <si>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</si>
  <si>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</si>
  <si>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</si>
  <si>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</si>
  <si>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</si>
  <si>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</si>
  <si>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</si>
  <si>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</si>
  <si>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</si>
  <si>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</si>
  <si>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</si>
  <si>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</si>
  <si>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</si>
  <si>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</si>
  <si>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</si>
  <si>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</si>
  <si>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</si>
  <si>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</si>
  <si>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</si>
  <si>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</si>
  <si>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</si>
  <si>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</si>
  <si>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</si>
  <si>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</si>
  <si>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</si>
  <si>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</si>
  <si>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</si>
  <si>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</si>
  <si>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</si>
  <si>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</si>
  <si>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</si>
  <si>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</si>
  <si>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</si>
  <si>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</si>
  <si>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</si>
  <si>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</si>
  <si>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</si>
  <si>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</si>
  <si>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</si>
  <si>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</si>
  <si>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</si>
  <si>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</si>
  <si>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</si>
  <si>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</si>
  <si>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</si>
  <si>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</si>
  <si>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</si>
  <si>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</si>
  <si>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</si>
  <si>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</si>
  <si>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</si>
  <si>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</si>
  <si>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</si>
  <si>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</si>
  <si>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</si>
  <si>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</si>
  <si>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</si>
  <si>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</si>
  <si>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</si>
  <si>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</si>
  <si>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</si>
  <si>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</si>
  <si>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</si>
  <si>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</si>
  <si>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</si>
  <si>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</si>
  <si>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</si>
  <si>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</si>
  <si>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</si>
  <si>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</si>
  <si>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</si>
  <si>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</si>
  <si>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</si>
  <si>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</si>
  <si>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</si>
  <si>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</si>
  <si>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</si>
  <si>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</si>
  <si>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</si>
  <si>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</si>
  <si>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</si>
  <si>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</si>
  <si>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</si>
  <si>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</si>
  <si>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</si>
  <si>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</si>
  <si>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</si>
  <si>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</si>
  <si>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</si>
  <si>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</si>
  <si>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</si>
  <si>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</si>
  <si>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</si>
  <si>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</si>
  <si>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</si>
  <si>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</si>
  <si>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</si>
  <si>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</si>
  <si>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</si>
  <si>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</si>
  <si>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</si>
  <si>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</si>
  <si>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</si>
  <si>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</si>
  <si>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</si>
  <si>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</si>
  <si>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</si>
  <si>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</si>
  <si>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</si>
  <si>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</si>
  <si>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</si>
  <si>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</si>
  <si>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</si>
  <si>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</si>
  <si>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</si>
  <si>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</si>
  <si>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</si>
  <si>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</si>
  <si>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</si>
  <si>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</si>
  <si>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</si>
  <si>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</si>
  <si>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</si>
  <si>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</si>
  <si>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</si>
  <si>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</si>
  <si>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</si>
  <si>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</si>
  <si>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</si>
  <si>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</si>
  <si>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</si>
  <si>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</si>
  <si>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</si>
  <si>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</si>
  <si>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</si>
  <si>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</si>
  <si>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</si>
  <si>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</si>
  <si>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</si>
  <si>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</si>
  <si>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</si>
  <si>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</si>
  <si>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</si>
  <si>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</si>
  <si>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</si>
  <si>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</si>
  <si>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</si>
  <si>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</si>
  <si>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</si>
  <si>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</si>
  <si>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</si>
  <si>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</si>
  <si>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</si>
  <si>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</si>
  <si>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</si>
  <si>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</si>
  <si>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</si>
  <si>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</si>
  <si>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</si>
  <si>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</si>
  <si>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</si>
  <si>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</si>
  <si>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</si>
  <si>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</si>
  <si>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</si>
  <si>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</si>
  <si>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</si>
  <si>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</si>
  <si>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</si>
  <si>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</si>
  <si>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</si>
  <si>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</si>
  <si>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</si>
  <si>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</si>
  <si>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</si>
  <si>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</si>
  <si>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</si>
  <si>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</si>
  <si>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</si>
  <si>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</si>
  <si>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</si>
  <si>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</si>
  <si>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</si>
  <si>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</si>
  <si>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</si>
  <si>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</si>
  <si>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</si>
  <si>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</si>
  <si>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</si>
  <si>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</si>
  <si>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</si>
  <si>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</si>
  <si>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</si>
  <si>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</si>
  <si>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</si>
  <si>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</si>
  <si>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</si>
  <si>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</si>
  <si>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</si>
  <si>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</si>
  <si>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</si>
  <si>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</si>
  <si>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</si>
  <si>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</si>
  <si>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</si>
  <si>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</si>
  <si>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</si>
  <si>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</si>
  <si>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</si>
  <si>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</si>
  <si>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</si>
  <si>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</si>
  <si>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</si>
  <si>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</si>
  <si>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</si>
  <si>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</si>
  <si>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</si>
  <si>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</si>
  <si>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</si>
  <si>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</si>
  <si>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</si>
  <si>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</si>
  <si>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</si>
  <si>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</si>
  <si>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</si>
  <si>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</si>
  <si>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</si>
  <si>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</si>
  <si>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</si>
  <si>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</si>
  <si>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</si>
  <si>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</si>
  <si>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</si>
  <si>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</si>
  <si>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</si>
  <si>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</si>
  <si>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</si>
  <si>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</si>
  <si>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</si>
  <si>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</si>
  <si>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</si>
  <si>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</si>
  <si>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</si>
  <si>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</si>
  <si>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</si>
  <si>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</si>
  <si>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</si>
  <si>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</si>
  <si>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</si>
  <si>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</si>
  <si>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</si>
  <si>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</si>
  <si>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</si>
  <si>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</si>
  <si>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</si>
  <si>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</si>
  <si>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</si>
  <si>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</si>
  <si>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</si>
  <si>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</si>
  <si>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</si>
  <si>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</si>
  <si>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</si>
  <si>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</si>
  <si>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</si>
  <si>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</si>
  <si>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</si>
  <si>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</si>
  <si>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</si>
  <si>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</si>
  <si>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</si>
  <si>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</si>
  <si>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</si>
  <si>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</si>
  <si>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</si>
  <si>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</si>
  <si>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</si>
  <si>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</si>
  <si>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</si>
  <si>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</si>
  <si>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</si>
  <si>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</si>
  <si>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</si>
  <si>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</si>
  <si>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</si>
  <si>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</si>
  <si>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</si>
  <si>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</si>
  <si>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</si>
  <si>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</si>
  <si>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</si>
  <si>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</si>
  <si>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</si>
  <si>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</si>
  <si>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</si>
  <si>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</si>
  <si>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</si>
  <si>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</si>
  <si>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</si>
  <si>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</si>
  <si>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</si>
  <si>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</si>
  <si>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</si>
  <si>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</si>
  <si>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</si>
  <si>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</si>
  <si>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</si>
  <si>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</si>
  <si>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</si>
  <si>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</si>
  <si>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</si>
  <si>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</si>
  <si>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</si>
  <si>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</si>
  <si>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</si>
  <si>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</si>
  <si>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</si>
  <si>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</si>
  <si>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</si>
  <si>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</si>
  <si>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</si>
  <si>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</si>
  <si>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</si>
  <si>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</si>
  <si>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</si>
  <si>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</si>
  <si>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</si>
  <si>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</si>
  <si>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</si>
  <si>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</si>
  <si>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</si>
  <si>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</si>
  <si>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</si>
  <si>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</si>
  <si>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</si>
  <si>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</si>
  <si>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</si>
  <si>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</si>
  <si>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</si>
  <si>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</si>
  <si>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</si>
  <si>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</si>
  <si>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</si>
  <si>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</si>
  <si>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</si>
  <si>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</si>
  <si>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</si>
  <si>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</si>
  <si>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</si>
  <si>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</si>
  <si>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</si>
  <si>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</si>
  <si>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</si>
  <si>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</si>
  <si>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</si>
  <si>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</si>
  <si>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</si>
  <si>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</si>
  <si>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</si>
  <si>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</si>
  <si>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</si>
  <si>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</si>
  <si>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</si>
  <si>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</si>
  <si>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</si>
  <si>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</si>
  <si>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</si>
  <si>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</si>
  <si>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</si>
  <si>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</si>
  <si>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</si>
  <si>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</si>
  <si>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</si>
  <si>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</si>
  <si>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</si>
  <si>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</si>
  <si>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</si>
  <si>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</si>
  <si>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</si>
  <si>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</si>
  <si>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</si>
  <si>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</si>
  <si>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</si>
  <si>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</si>
  <si>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</si>
  <si>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</si>
  <si>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</si>
  <si>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</si>
  <si>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</si>
  <si>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</si>
  <si>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</si>
  <si>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</si>
  <si>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</si>
  <si>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</si>
  <si>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</si>
  <si>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</si>
  <si>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</si>
  <si>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</si>
  <si>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</si>
  <si>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</si>
  <si>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</si>
  <si>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</si>
  <si>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</si>
  <si>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</si>
  <si>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</si>
  <si>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</si>
  <si>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</si>
  <si>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</si>
  <si>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</si>
  <si>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</si>
  <si>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</si>
  <si>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</si>
  <si>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</si>
  <si>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</si>
  <si>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</si>
  <si>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</si>
  <si>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</si>
  <si>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</si>
  <si>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</si>
  <si>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</si>
  <si>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</si>
  <si>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</si>
  <si>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</si>
  <si>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</si>
  <si>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</si>
  <si>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</si>
  <si>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</si>
  <si>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</si>
  <si>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</si>
  <si>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</si>
  <si>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</si>
  <si>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</si>
  <si>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</si>
  <si>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</si>
  <si>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</si>
  <si>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</si>
  <si>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</si>
  <si>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</si>
  <si>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</si>
  <si>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</si>
  <si>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</si>
  <si>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</si>
  <si>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</si>
  <si>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</si>
  <si>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</si>
  <si>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</si>
  <si>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</si>
  <si>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</si>
  <si>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</si>
  <si>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</si>
  <si>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</si>
  <si>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</si>
  <si>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</si>
  <si>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</si>
  <si>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</si>
  <si>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</si>
  <si>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</si>
  <si>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</si>
  <si>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</si>
  <si>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</si>
  <si>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</si>
  <si>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</si>
  <si>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</si>
  <si>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</si>
  <si>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</si>
  <si>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</si>
  <si>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</si>
  <si>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</si>
  <si>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</si>
  <si>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</si>
  <si>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</si>
  <si>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</si>
  <si>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</si>
  <si>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</si>
  <si>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</si>
  <si>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</si>
  <si>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</si>
  <si>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</si>
  <si>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</si>
  <si>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</si>
  <si>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</si>
  <si>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</si>
  <si>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</si>
  <si>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</si>
  <si>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</si>
  <si>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</si>
  <si>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</si>
  <si>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</si>
  <si>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</si>
  <si>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</si>
  <si>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</si>
  <si>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</si>
  <si>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</si>
  <si>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</si>
  <si>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</si>
  <si>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</si>
  <si>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</si>
  <si>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</si>
  <si>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</si>
  <si>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</si>
  <si>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</si>
  <si>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</si>
  <si>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</si>
  <si>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</si>
  <si>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</si>
  <si>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</si>
  <si>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</si>
  <si>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</si>
  <si>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</si>
  <si>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</si>
  <si>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</si>
  <si>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</si>
  <si>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</si>
  <si>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</si>
  <si>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</si>
  <si>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</si>
  <si>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</si>
  <si>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</si>
  <si>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</si>
  <si>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</si>
  <si>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</si>
  <si>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</si>
  <si>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</si>
  <si>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</si>
  <si>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</si>
  <si>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</si>
  <si>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</si>
  <si>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</si>
  <si>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</si>
  <si>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</si>
  <si>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</si>
  <si>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</si>
  <si>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</si>
  <si>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</si>
  <si>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</si>
  <si>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</si>
  <si>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</si>
  <si>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</si>
  <si>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</si>
  <si>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</si>
  <si>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</si>
  <si>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</si>
  <si>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</si>
  <si>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</si>
  <si>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</si>
  <si>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</si>
  <si>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</si>
  <si>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</si>
  <si>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</si>
  <si>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</si>
  <si>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</si>
  <si>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</si>
  <si>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</si>
  <si>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</si>
  <si>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</si>
  <si>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</si>
  <si>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</si>
  <si>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</si>
  <si>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</si>
  <si>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</si>
  <si>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</si>
  <si>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</si>
  <si>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</si>
  <si>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</si>
  <si>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</si>
  <si>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</si>
  <si>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</si>
  <si>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</si>
  <si>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</si>
  <si>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</si>
  <si>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</si>
  <si>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</si>
  <si>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</si>
  <si>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</si>
  <si>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</si>
  <si>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</si>
  <si>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</si>
  <si>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</si>
  <si>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</si>
  <si>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</si>
  <si>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</si>
  <si>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</si>
  <si>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</si>
  <si>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</si>
  <si>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</si>
  <si>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</si>
  <si>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</si>
  <si>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</si>
  <si>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</si>
  <si>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</si>
  <si>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</si>
  <si>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</si>
  <si>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</si>
  <si>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</si>
  <si>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</si>
  <si>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</si>
  <si>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</si>
  <si>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</si>
  <si>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</si>
  <si>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</si>
  <si>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</si>
  <si>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</si>
  <si>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</si>
  <si>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</si>
  <si>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</si>
  <si>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</si>
  <si>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</si>
  <si>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</si>
  <si>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</si>
  <si>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</si>
  <si>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</si>
  <si>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</si>
  <si>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</si>
  <si>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</si>
  <si>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</si>
  <si>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</si>
  <si>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</si>
  <si>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</si>
  <si>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</si>
  <si>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</si>
  <si>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</si>
  <si>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</si>
  <si>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</si>
  <si>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</si>
  <si>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</si>
  <si>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</si>
  <si>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</si>
  <si>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</si>
  <si>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</si>
  <si>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</si>
  <si>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</si>
  <si>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</si>
  <si>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</si>
  <si>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</si>
  <si>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</si>
  <si>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</si>
  <si>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</si>
  <si>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</si>
  <si>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</si>
  <si>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</si>
  <si>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</si>
  <si>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</si>
  <si>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</si>
  <si>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</si>
  <si>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</si>
  <si>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</si>
  <si>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</si>
  <si>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</si>
  <si>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</si>
  <si>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</si>
  <si>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</si>
  <si>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</si>
  <si>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</si>
  <si>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</si>
  <si>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</si>
  <si>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</si>
  <si>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</si>
  <si>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</si>
  <si>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</si>
  <si>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</si>
  <si>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</si>
  <si>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</si>
  <si>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</si>
  <si>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</si>
  <si>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</si>
  <si>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</si>
  <si>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</si>
  <si>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</si>
  <si>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</si>
  <si>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</si>
  <si>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</si>
  <si>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</si>
  <si>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</si>
  <si>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</si>
  <si>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</si>
  <si>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</si>
  <si>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</si>
  <si>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</si>
  <si>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</si>
  <si>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</si>
  <si>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</si>
  <si>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</si>
  <si>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</si>
  <si>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</si>
  <si>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</si>
  <si>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</si>
  <si>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</si>
  <si>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</si>
  <si>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</si>
  <si>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</si>
  <si>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</si>
  <si>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</si>
  <si>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</si>
  <si>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</si>
  <si>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</si>
  <si>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</si>
  <si>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</si>
  <si>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</si>
  <si>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</si>
  <si>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</si>
  <si>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</si>
  <si>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</si>
  <si>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</si>
  <si>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</si>
  <si>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</si>
  <si>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</si>
  <si>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</si>
  <si>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</si>
  <si>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</si>
  <si>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</si>
  <si>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</si>
  <si>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</si>
  <si>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</si>
  <si>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</si>
  <si>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</si>
  <si>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</si>
  <si>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</si>
  <si>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</si>
  <si>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</si>
  <si>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</si>
  <si>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</si>
  <si>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</si>
  <si>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</si>
  <si>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</si>
  <si>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</si>
  <si>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</si>
  <si>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</si>
  <si>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</si>
  <si>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</si>
  <si>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</si>
  <si>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</si>
  <si>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</si>
  <si>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</si>
  <si>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</si>
  <si>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</si>
  <si>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</si>
  <si>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</si>
  <si>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</si>
  <si>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</si>
  <si>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</si>
  <si>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</si>
  <si>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</si>
  <si>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</si>
  <si>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</si>
  <si>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</si>
  <si>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</si>
  <si>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</si>
  <si>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</si>
  <si>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</si>
  <si>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</si>
  <si>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</si>
  <si>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</si>
  <si>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</si>
  <si>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</si>
  <si>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</si>
  <si>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</si>
  <si>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</si>
  <si>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</si>
  <si>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</si>
  <si>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</si>
  <si>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</si>
  <si>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</si>
  <si>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</si>
  <si>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</si>
  <si>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</si>
  <si>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</si>
  <si>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</si>
  <si>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</si>
  <si>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</si>
  <si>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</si>
  <si>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</si>
  <si>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</si>
  <si>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</si>
  <si>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</si>
  <si>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</si>
  <si>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</si>
  <si>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</si>
  <si>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45062</t>
  </si>
  <si>
    <t>HOREBEKE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</si>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</sst>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20784.177236951615</c:v>
                </c:pt>
                <c:pt idx="1">
                  <c:v>5118.7917382760206</c:v>
                </c:pt>
                <c:pt idx="2">
                  <c:v>129.53399999999999</c:v>
                </c:pt>
                <c:pt idx="3">
                  <c:v>2121.516441925015</c:v>
                </c:pt>
                <c:pt idx="4">
                  <c:v>450.72898598416293</c:v>
                </c:pt>
                <c:pt idx="5">
                  <c:v>9736.7388735560799</c:v>
                </c:pt>
                <c:pt idx="6">
                  <c:v>187.33725323431804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78848"/>
        <c:axId val="156484736"/>
      </c:barChart>
      <c:catAx>
        <c:axId val="156478848"/>
        <c:scaling>
          <c:orientation val="minMax"/>
        </c:scaling>
        <c:axPos val="b"/>
        <c:numFmt formatCode="General" sourceLinked="0"/>
        <c:tickLblPos val="nextTo"/>
        <c:crossAx val="156484736"/>
        <c:crosses val="autoZero"/>
        <c:auto val="1"/>
        <c:lblAlgn val="ctr"/>
        <c:lblOffset val="100"/>
      </c:catAx>
      <c:valAx>
        <c:axId val="156484736"/>
        <c:scaling>
          <c:orientation val="minMax"/>
        </c:scaling>
        <c:axPos val="l"/>
        <c:majorGridlines/>
        <c:numFmt formatCode="#,##0" sourceLinked="1"/>
        <c:tickLblPos val="nextTo"/>
        <c:crossAx val="1564788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20784.177236951615</c:v>
                </c:pt>
                <c:pt idx="1">
                  <c:v>5118.7917382760206</c:v>
                </c:pt>
                <c:pt idx="2">
                  <c:v>129.53399999999999</c:v>
                </c:pt>
                <c:pt idx="3">
                  <c:v>2121.516441925015</c:v>
                </c:pt>
                <c:pt idx="4">
                  <c:v>450.72898598416293</c:v>
                </c:pt>
                <c:pt idx="5">
                  <c:v>9736.7388735560799</c:v>
                </c:pt>
                <c:pt idx="6">
                  <c:v>187.33725323431804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4343.8310102276928</c:v>
                </c:pt>
                <c:pt idx="1">
                  <c:v>1020.4563354541725</c:v>
                </c:pt>
                <c:pt idx="2">
                  <c:v>24.95139133278132</c:v>
                </c:pt>
                <c:pt idx="3">
                  <c:v>534.80798840800287</c:v>
                </c:pt>
                <c:pt idx="4">
                  <c:v>84.931289385087467</c:v>
                </c:pt>
                <c:pt idx="5">
                  <c:v>2435.1492485295548</c:v>
                </c:pt>
                <c:pt idx="6">
                  <c:v>47.330862565547939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56928"/>
        <c:axId val="161243136"/>
      </c:barChart>
      <c:catAx>
        <c:axId val="156956928"/>
        <c:scaling>
          <c:orientation val="minMax"/>
        </c:scaling>
        <c:axPos val="b"/>
        <c:numFmt formatCode="General" sourceLinked="0"/>
        <c:tickLblPos val="nextTo"/>
        <c:crossAx val="161243136"/>
        <c:crosses val="autoZero"/>
        <c:auto val="1"/>
        <c:lblAlgn val="ctr"/>
        <c:lblOffset val="100"/>
      </c:catAx>
      <c:valAx>
        <c:axId val="161243136"/>
        <c:scaling>
          <c:orientation val="minMax"/>
        </c:scaling>
        <c:axPos val="l"/>
        <c:majorGridlines/>
        <c:numFmt formatCode="#,##0" sourceLinked="1"/>
        <c:tickLblPos val="nextTo"/>
        <c:crossAx val="156956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4343.8310102276928</c:v>
                </c:pt>
                <c:pt idx="1">
                  <c:v>1020.4563354541725</c:v>
                </c:pt>
                <c:pt idx="2">
                  <c:v>24.95139133278132</c:v>
                </c:pt>
                <c:pt idx="3">
                  <c:v>534.80798840800287</c:v>
                </c:pt>
                <c:pt idx="4">
                  <c:v>84.931289385087467</c:v>
                </c:pt>
                <c:pt idx="5">
                  <c:v>2435.1492485295548</c:v>
                </c:pt>
                <c:pt idx="6">
                  <c:v>47.330862565547939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45062</v>
      </c>
      <c r="B6" s="415"/>
      <c r="C6" s="416"/>
    </row>
    <row r="7" spans="1:7" s="413" customFormat="1" ht="15.75" customHeight="1">
      <c r="A7" s="417" t="str">
        <f>txtMunicipality</f>
        <v>HOREBEKE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2583.9987279755692</v>
      </c>
      <c r="D10" s="718">
        <f ca="1">tertiair!C16</f>
        <v>0</v>
      </c>
      <c r="E10" s="718">
        <f ca="1">tertiair!D16</f>
        <v>2061.6668127373796</v>
      </c>
      <c r="F10" s="718">
        <f>tertiair!E16</f>
        <v>59.316210633108504</v>
      </c>
      <c r="G10" s="718">
        <f ca="1">tertiair!F16</f>
        <v>440.99068253158396</v>
      </c>
      <c r="H10" s="718">
        <f>tertiair!G16</f>
        <v>0</v>
      </c>
      <c r="I10" s="718">
        <f>tertiair!H16</f>
        <v>0</v>
      </c>
      <c r="J10" s="718">
        <f>tertiair!I16</f>
        <v>0</v>
      </c>
      <c r="K10" s="718">
        <f>tertiair!J16</f>
        <v>2.50568045637364E-3</v>
      </c>
      <c r="L10" s="718">
        <f>tertiair!K16</f>
        <v>0</v>
      </c>
      <c r="M10" s="718">
        <f ca="1">tertiair!L16</f>
        <v>0</v>
      </c>
      <c r="N10" s="718">
        <f>tertiair!M16</f>
        <v>0</v>
      </c>
      <c r="O10" s="718">
        <f ca="1">tertiair!N16</f>
        <v>102.35079871792392</v>
      </c>
      <c r="P10" s="718">
        <f>tertiair!O16</f>
        <v>0</v>
      </c>
      <c r="Q10" s="719">
        <f>tertiair!P16</f>
        <v>0</v>
      </c>
      <c r="R10" s="721">
        <f ca="1">SUM(C10:Q10)</f>
        <v>5248.3257382760212</v>
      </c>
      <c r="S10" s="67"/>
    </row>
    <row r="11" spans="1:19" s="474" customFormat="1">
      <c r="A11" s="870" t="s">
        <v>225</v>
      </c>
      <c r="B11" s="875"/>
      <c r="C11" s="718">
        <f>huishoudens!B8</f>
        <v>3791.1626737259771</v>
      </c>
      <c r="D11" s="718">
        <f>huishoudens!C8</f>
        <v>0</v>
      </c>
      <c r="E11" s="718">
        <f>huishoudens!D8</f>
        <v>3094.8269474375761</v>
      </c>
      <c r="F11" s="718">
        <f>huishoudens!E8</f>
        <v>848.72897390951334</v>
      </c>
      <c r="G11" s="718">
        <f>huishoudens!F8</f>
        <v>8007.2470582140131</v>
      </c>
      <c r="H11" s="718">
        <f>huishoudens!G8</f>
        <v>0</v>
      </c>
      <c r="I11" s="718">
        <f>huishoudens!H8</f>
        <v>0</v>
      </c>
      <c r="J11" s="718">
        <f>huishoudens!I8</f>
        <v>0</v>
      </c>
      <c r="K11" s="718">
        <f>huishoudens!J8</f>
        <v>1858.2192311894814</v>
      </c>
      <c r="L11" s="718">
        <f>huishoudens!K8</f>
        <v>0</v>
      </c>
      <c r="M11" s="718">
        <f>huishoudens!L8</f>
        <v>0</v>
      </c>
      <c r="N11" s="718">
        <f>huishoudens!M8</f>
        <v>0</v>
      </c>
      <c r="O11" s="718">
        <f>huishoudens!N8</f>
        <v>2999.5490191417207</v>
      </c>
      <c r="P11" s="718">
        <f>huishoudens!O8</f>
        <v>89.11</v>
      </c>
      <c r="Q11" s="719">
        <f>huishoudens!P8</f>
        <v>95.333333333333343</v>
      </c>
      <c r="R11" s="721">
        <f>SUM(C11:Q11)</f>
        <v>20784.177236951615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176.92008905447591</v>
      </c>
      <c r="D13" s="718">
        <f>industrie!C18</f>
        <v>0</v>
      </c>
      <c r="E13" s="718">
        <f>industrie!D18</f>
        <v>150.51914680365499</v>
      </c>
      <c r="F13" s="718">
        <f>industrie!E18</f>
        <v>19.341728745339243</v>
      </c>
      <c r="G13" s="718">
        <f>industrie!F18</f>
        <v>59.489518155236524</v>
      </c>
      <c r="H13" s="718">
        <f>industrie!G18</f>
        <v>0</v>
      </c>
      <c r="I13" s="718">
        <f>industrie!H18</f>
        <v>0</v>
      </c>
      <c r="J13" s="718">
        <f>industrie!I18</f>
        <v>0</v>
      </c>
      <c r="K13" s="718">
        <f>industrie!J18</f>
        <v>0.48883086640562312</v>
      </c>
      <c r="L13" s="718">
        <f>industrie!K18</f>
        <v>0</v>
      </c>
      <c r="M13" s="718">
        <f>industrie!L18</f>
        <v>0</v>
      </c>
      <c r="N13" s="718">
        <f>industrie!M18</f>
        <v>0</v>
      </c>
      <c r="O13" s="718">
        <f>industrie!N18</f>
        <v>43.969672359050591</v>
      </c>
      <c r="P13" s="718">
        <f>industrie!O18</f>
        <v>0</v>
      </c>
      <c r="Q13" s="719">
        <f>industrie!P18</f>
        <v>0</v>
      </c>
      <c r="R13" s="721">
        <f>SUM(C13:Q13)</f>
        <v>450.72898598416293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6552.0814907560225</v>
      </c>
      <c r="D15" s="723">
        <f t="shared" ref="D15:Q15" ca="1" si="0">SUM(D9:D14)</f>
        <v>0</v>
      </c>
      <c r="E15" s="723">
        <f t="shared" ca="1" si="0"/>
        <v>5307.0129069786099</v>
      </c>
      <c r="F15" s="723">
        <f t="shared" si="0"/>
        <v>927.38691328796108</v>
      </c>
      <c r="G15" s="723">
        <f t="shared" ca="1" si="0"/>
        <v>8507.7272589008335</v>
      </c>
      <c r="H15" s="723">
        <f t="shared" si="0"/>
        <v>0</v>
      </c>
      <c r="I15" s="723">
        <f t="shared" si="0"/>
        <v>0</v>
      </c>
      <c r="J15" s="723">
        <f t="shared" si="0"/>
        <v>0</v>
      </c>
      <c r="K15" s="723">
        <f t="shared" si="0"/>
        <v>1858.7105677363434</v>
      </c>
      <c r="L15" s="723">
        <f t="shared" si="0"/>
        <v>0</v>
      </c>
      <c r="M15" s="723">
        <f t="shared" ca="1" si="0"/>
        <v>0</v>
      </c>
      <c r="N15" s="723">
        <f t="shared" si="0"/>
        <v>0</v>
      </c>
      <c r="O15" s="723">
        <f t="shared" ca="1" si="0"/>
        <v>3145.8694902186953</v>
      </c>
      <c r="P15" s="723">
        <f t="shared" si="0"/>
        <v>89.11</v>
      </c>
      <c r="Q15" s="724">
        <f t="shared" si="0"/>
        <v>95.333333333333343</v>
      </c>
      <c r="R15" s="725">
        <f ca="1">SUM(R9:R14)</f>
        <v>26483.231961211797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177.26914818557279</v>
      </c>
      <c r="I18" s="718">
        <f>transport!H54</f>
        <v>0</v>
      </c>
      <c r="J18" s="718">
        <f>transport!I54</f>
        <v>0</v>
      </c>
      <c r="K18" s="718">
        <f>transport!J54</f>
        <v>0</v>
      </c>
      <c r="L18" s="718">
        <f>transport!K54</f>
        <v>0</v>
      </c>
      <c r="M18" s="718">
        <f>transport!L54</f>
        <v>0</v>
      </c>
      <c r="N18" s="718">
        <f>transport!M54</f>
        <v>10.068105048745243</v>
      </c>
      <c r="O18" s="718">
        <f>transport!N54</f>
        <v>0</v>
      </c>
      <c r="P18" s="718">
        <f>transport!O54</f>
        <v>0</v>
      </c>
      <c r="Q18" s="719">
        <f>transport!P54</f>
        <v>0</v>
      </c>
      <c r="R18" s="721">
        <f>SUM(C18:Q18)</f>
        <v>187.33725323431804</v>
      </c>
      <c r="S18" s="67"/>
    </row>
    <row r="19" spans="1:19" s="474" customFormat="1" ht="15" thickBot="1">
      <c r="A19" s="870" t="s">
        <v>307</v>
      </c>
      <c r="B19" s="875"/>
      <c r="C19" s="727">
        <f>transport!B14</f>
        <v>4.7807602005333782</v>
      </c>
      <c r="D19" s="727">
        <f>transport!C14</f>
        <v>0</v>
      </c>
      <c r="E19" s="727">
        <f>transport!D14</f>
        <v>15.992822754595855</v>
      </c>
      <c r="F19" s="727">
        <f>transport!E14</f>
        <v>21.467112834731026</v>
      </c>
      <c r="G19" s="727">
        <f>transport!F14</f>
        <v>0</v>
      </c>
      <c r="H19" s="727">
        <f>transport!G14</f>
        <v>7401.2939728806668</v>
      </c>
      <c r="I19" s="727">
        <f>transport!H14</f>
        <v>1807.1457130460885</v>
      </c>
      <c r="J19" s="727">
        <f>transport!I14</f>
        <v>0</v>
      </c>
      <c r="K19" s="727">
        <f>transport!J14</f>
        <v>0</v>
      </c>
      <c r="L19" s="727">
        <f>transport!K14</f>
        <v>0</v>
      </c>
      <c r="M19" s="727">
        <f>transport!L14</f>
        <v>0</v>
      </c>
      <c r="N19" s="727">
        <f>transport!M14</f>
        <v>486.05849183946498</v>
      </c>
      <c r="O19" s="727">
        <f>transport!N14</f>
        <v>0</v>
      </c>
      <c r="P19" s="727">
        <f>transport!O14</f>
        <v>0</v>
      </c>
      <c r="Q19" s="728">
        <f>transport!P14</f>
        <v>0</v>
      </c>
      <c r="R19" s="729">
        <f>SUM(C19:Q19)</f>
        <v>9736.7388735560799</v>
      </c>
      <c r="S19" s="67"/>
    </row>
    <row r="20" spans="1:19" s="474" customFormat="1" ht="15.75" thickBot="1">
      <c r="A20" s="730" t="s">
        <v>230</v>
      </c>
      <c r="B20" s="878"/>
      <c r="C20" s="873">
        <f>SUM(C17:C19)</f>
        <v>4.7807602005333782</v>
      </c>
      <c r="D20" s="731">
        <f t="shared" ref="D20:R20" si="1">SUM(D17:D19)</f>
        <v>0</v>
      </c>
      <c r="E20" s="731">
        <f t="shared" si="1"/>
        <v>15.992822754595855</v>
      </c>
      <c r="F20" s="731">
        <f t="shared" si="1"/>
        <v>21.467112834731026</v>
      </c>
      <c r="G20" s="731">
        <f t="shared" si="1"/>
        <v>0</v>
      </c>
      <c r="H20" s="731">
        <f t="shared" si="1"/>
        <v>7578.5631210662395</v>
      </c>
      <c r="I20" s="731">
        <f t="shared" si="1"/>
        <v>1807.1457130460885</v>
      </c>
      <c r="J20" s="731">
        <f t="shared" si="1"/>
        <v>0</v>
      </c>
      <c r="K20" s="731">
        <f t="shared" si="1"/>
        <v>0</v>
      </c>
      <c r="L20" s="731">
        <f t="shared" si="1"/>
        <v>0</v>
      </c>
      <c r="M20" s="731">
        <f t="shared" si="1"/>
        <v>0</v>
      </c>
      <c r="N20" s="731">
        <f t="shared" si="1"/>
        <v>496.1265968882102</v>
      </c>
      <c r="O20" s="731">
        <f t="shared" si="1"/>
        <v>0</v>
      </c>
      <c r="P20" s="731">
        <f t="shared" si="1"/>
        <v>0</v>
      </c>
      <c r="Q20" s="732">
        <f t="shared" si="1"/>
        <v>0</v>
      </c>
      <c r="R20" s="733">
        <f t="shared" si="1"/>
        <v>9924.0761267903981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373.94076318299062</v>
      </c>
      <c r="D22" s="727">
        <f>+landbouw!C8</f>
        <v>0</v>
      </c>
      <c r="E22" s="727">
        <f>+landbouw!D8</f>
        <v>124.59141872765657</v>
      </c>
      <c r="F22" s="727">
        <f>+landbouw!E8</f>
        <v>10.991261176867162</v>
      </c>
      <c r="G22" s="727">
        <f>+landbouw!F8</f>
        <v>1557.8170127220988</v>
      </c>
      <c r="H22" s="727">
        <f>+landbouw!G8</f>
        <v>0</v>
      </c>
      <c r="I22" s="727">
        <f>+landbouw!H8</f>
        <v>0</v>
      </c>
      <c r="J22" s="727">
        <f>+landbouw!I8</f>
        <v>0</v>
      </c>
      <c r="K22" s="727">
        <f>+landbouw!J8</f>
        <v>54.175986115402104</v>
      </c>
      <c r="L22" s="727">
        <f>+landbouw!K8</f>
        <v>0</v>
      </c>
      <c r="M22" s="727">
        <f>+landbouw!L8</f>
        <v>0</v>
      </c>
      <c r="N22" s="727">
        <f>+landbouw!M8</f>
        <v>0</v>
      </c>
      <c r="O22" s="727">
        <f>+landbouw!N8</f>
        <v>0</v>
      </c>
      <c r="P22" s="727">
        <f>+landbouw!O8</f>
        <v>0</v>
      </c>
      <c r="Q22" s="728">
        <f>+landbouw!P8</f>
        <v>0</v>
      </c>
      <c r="R22" s="729">
        <f>SUM(C22:Q22)</f>
        <v>2121.516441925015</v>
      </c>
      <c r="S22" s="67"/>
    </row>
    <row r="23" spans="1:19" s="474" customFormat="1" ht="17.25" thickTop="1" thickBot="1">
      <c r="A23" s="734" t="s">
        <v>116</v>
      </c>
      <c r="B23" s="864"/>
      <c r="C23" s="735">
        <f ca="1">C20+C15+C22</f>
        <v>6930.8030141395466</v>
      </c>
      <c r="D23" s="735">
        <f t="shared" ref="D23:Q23" ca="1" si="2">D20+D15+D22</f>
        <v>0</v>
      </c>
      <c r="E23" s="735">
        <f t="shared" ca="1" si="2"/>
        <v>5447.5971484608626</v>
      </c>
      <c r="F23" s="735">
        <f t="shared" si="2"/>
        <v>959.84528729955923</v>
      </c>
      <c r="G23" s="735">
        <f t="shared" ca="1" si="2"/>
        <v>10065.544271622932</v>
      </c>
      <c r="H23" s="735">
        <f t="shared" si="2"/>
        <v>7578.5631210662395</v>
      </c>
      <c r="I23" s="735">
        <f t="shared" si="2"/>
        <v>1807.1457130460885</v>
      </c>
      <c r="J23" s="735">
        <f t="shared" si="2"/>
        <v>0</v>
      </c>
      <c r="K23" s="735">
        <f t="shared" si="2"/>
        <v>1912.8865538517455</v>
      </c>
      <c r="L23" s="735">
        <f t="shared" si="2"/>
        <v>0</v>
      </c>
      <c r="M23" s="735">
        <f t="shared" ca="1" si="2"/>
        <v>0</v>
      </c>
      <c r="N23" s="735">
        <f t="shared" si="2"/>
        <v>496.1265968882102</v>
      </c>
      <c r="O23" s="735">
        <f t="shared" ca="1" si="2"/>
        <v>3145.8694902186953</v>
      </c>
      <c r="P23" s="735">
        <f t="shared" si="2"/>
        <v>89.11</v>
      </c>
      <c r="Q23" s="736">
        <f t="shared" si="2"/>
        <v>95.333333333333343</v>
      </c>
      <c r="R23" s="737">
        <f ca="1">R20+R15+R22</f>
        <v>38528.824529927209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497.74085155347302</v>
      </c>
      <c r="D36" s="718">
        <f ca="1">tertiair!C20</f>
        <v>0</v>
      </c>
      <c r="E36" s="718">
        <f ca="1">tertiair!D20</f>
        <v>416.45669617295073</v>
      </c>
      <c r="F36" s="718">
        <f>tertiair!E20</f>
        <v>13.46477981371563</v>
      </c>
      <c r="G36" s="718">
        <f ca="1">tertiair!F20</f>
        <v>117.74451223593292</v>
      </c>
      <c r="H36" s="718">
        <f>tertiair!G20</f>
        <v>0</v>
      </c>
      <c r="I36" s="718">
        <f>tertiair!H20</f>
        <v>0</v>
      </c>
      <c r="J36" s="718">
        <f>tertiair!I20</f>
        <v>0</v>
      </c>
      <c r="K36" s="718">
        <f>tertiair!J20</f>
        <v>8.8701088155626856E-4</v>
      </c>
      <c r="L36" s="718">
        <f>tertiair!K20</f>
        <v>0</v>
      </c>
      <c r="M36" s="718">
        <f ca="1">tertiair!L20</f>
        <v>0</v>
      </c>
      <c r="N36" s="718">
        <f>tertiair!M20</f>
        <v>0</v>
      </c>
      <c r="O36" s="718">
        <f ca="1">tertiair!N20</f>
        <v>0</v>
      </c>
      <c r="P36" s="718">
        <f>tertiair!O20</f>
        <v>0</v>
      </c>
      <c r="Q36" s="828">
        <f>tertiair!P20</f>
        <v>0</v>
      </c>
      <c r="R36" s="917">
        <f ca="1">SUM(C36:Q36)</f>
        <v>1045.4077267869538</v>
      </c>
    </row>
    <row r="37" spans="1:18">
      <c r="A37" s="885" t="s">
        <v>225</v>
      </c>
      <c r="B37" s="892"/>
      <c r="C37" s="718">
        <f ca="1">huishoudens!B12</f>
        <v>730.26991738362437</v>
      </c>
      <c r="D37" s="718">
        <f ca="1">huishoudens!C12</f>
        <v>0</v>
      </c>
      <c r="E37" s="718">
        <f>huishoudens!D12</f>
        <v>625.15504338239043</v>
      </c>
      <c r="F37" s="718">
        <f>huishoudens!E12</f>
        <v>192.66147707745952</v>
      </c>
      <c r="G37" s="718">
        <f>huishoudens!F12</f>
        <v>2137.9349645431416</v>
      </c>
      <c r="H37" s="718">
        <f>huishoudens!G12</f>
        <v>0</v>
      </c>
      <c r="I37" s="718">
        <f>huishoudens!H12</f>
        <v>0</v>
      </c>
      <c r="J37" s="718">
        <f>huishoudens!I12</f>
        <v>0</v>
      </c>
      <c r="K37" s="718">
        <f>huishoudens!J12</f>
        <v>657.8096078410764</v>
      </c>
      <c r="L37" s="718">
        <f>huishoudens!K12</f>
        <v>0</v>
      </c>
      <c r="M37" s="718">
        <f>huishoudens!L12</f>
        <v>0</v>
      </c>
      <c r="N37" s="718">
        <f>huishoudens!M12</f>
        <v>0</v>
      </c>
      <c r="O37" s="718">
        <f>huishoudens!N12</f>
        <v>0</v>
      </c>
      <c r="P37" s="718">
        <f>huishoudens!O12</f>
        <v>0</v>
      </c>
      <c r="Q37" s="828">
        <f>huishoudens!P12</f>
        <v>0</v>
      </c>
      <c r="R37" s="917">
        <f ca="1">SUM(C37:Q37)</f>
        <v>4343.8310102276928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34.079101831401402</v>
      </c>
      <c r="D39" s="718">
        <f ca="1">industrie!C22</f>
        <v>0</v>
      </c>
      <c r="E39" s="718">
        <f>industrie!D22</f>
        <v>30.404867654338311</v>
      </c>
      <c r="F39" s="718">
        <f>industrie!E22</f>
        <v>4.3905724251920084</v>
      </c>
      <c r="G39" s="718">
        <f>industrie!F22</f>
        <v>15.883701347448152</v>
      </c>
      <c r="H39" s="718">
        <f>industrie!G22</f>
        <v>0</v>
      </c>
      <c r="I39" s="718">
        <f>industrie!H22</f>
        <v>0</v>
      </c>
      <c r="J39" s="718">
        <f>industrie!I22</f>
        <v>0</v>
      </c>
      <c r="K39" s="718">
        <f>industrie!J22</f>
        <v>0.17304612670759056</v>
      </c>
      <c r="L39" s="718">
        <f>industrie!K22</f>
        <v>0</v>
      </c>
      <c r="M39" s="718">
        <f>industrie!L22</f>
        <v>0</v>
      </c>
      <c r="N39" s="718">
        <f>industrie!M22</f>
        <v>0</v>
      </c>
      <c r="O39" s="718">
        <f>industrie!N22</f>
        <v>0</v>
      </c>
      <c r="P39" s="718">
        <f>industrie!O22</f>
        <v>0</v>
      </c>
      <c r="Q39" s="828">
        <f>industrie!P22</f>
        <v>0</v>
      </c>
      <c r="R39" s="918">
        <f ca="1">SUM(C39:Q39)</f>
        <v>84.931289385087467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1262.0898707684989</v>
      </c>
      <c r="D41" s="763">
        <f t="shared" ref="D41:R41" ca="1" si="4">SUM(D35:D40)</f>
        <v>0</v>
      </c>
      <c r="E41" s="763">
        <f t="shared" ca="1" si="4"/>
        <v>1072.0166072096793</v>
      </c>
      <c r="F41" s="763">
        <f t="shared" si="4"/>
        <v>210.51682931636716</v>
      </c>
      <c r="G41" s="763">
        <f t="shared" ca="1" si="4"/>
        <v>2271.5631781265224</v>
      </c>
      <c r="H41" s="763">
        <f t="shared" si="4"/>
        <v>0</v>
      </c>
      <c r="I41" s="763">
        <f t="shared" si="4"/>
        <v>0</v>
      </c>
      <c r="J41" s="763">
        <f t="shared" si="4"/>
        <v>0</v>
      </c>
      <c r="K41" s="763">
        <f t="shared" si="4"/>
        <v>657.98354097866559</v>
      </c>
      <c r="L41" s="763">
        <f t="shared" si="4"/>
        <v>0</v>
      </c>
      <c r="M41" s="763">
        <f t="shared" ca="1" si="4"/>
        <v>0</v>
      </c>
      <c r="N41" s="763">
        <f t="shared" si="4"/>
        <v>0</v>
      </c>
      <c r="O41" s="763">
        <f t="shared" ca="1" si="4"/>
        <v>0</v>
      </c>
      <c r="P41" s="763">
        <f t="shared" si="4"/>
        <v>0</v>
      </c>
      <c r="Q41" s="764">
        <f t="shared" si="4"/>
        <v>0</v>
      </c>
      <c r="R41" s="765">
        <f t="shared" ca="1" si="4"/>
        <v>5474.1700263997336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47.330862565547939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47.330862565547939</v>
      </c>
    </row>
    <row r="45" spans="1:18" ht="15" thickBot="1">
      <c r="A45" s="888" t="s">
        <v>307</v>
      </c>
      <c r="B45" s="898"/>
      <c r="C45" s="727">
        <f ca="1">transport!B18</f>
        <v>0.92089041202845912</v>
      </c>
      <c r="D45" s="727">
        <f>transport!C18</f>
        <v>0</v>
      </c>
      <c r="E45" s="727">
        <f>transport!D18</f>
        <v>3.2305501964283629</v>
      </c>
      <c r="F45" s="727">
        <f>transport!E18</f>
        <v>4.8730346134839433</v>
      </c>
      <c r="G45" s="727">
        <f>transport!F18</f>
        <v>0</v>
      </c>
      <c r="H45" s="727">
        <f>transport!G18</f>
        <v>1976.1454907591381</v>
      </c>
      <c r="I45" s="727">
        <f>transport!H18</f>
        <v>449.97928254847602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2435.1492485295548</v>
      </c>
    </row>
    <row r="46" spans="1:18" ht="15.75" thickBot="1">
      <c r="A46" s="886" t="s">
        <v>230</v>
      </c>
      <c r="B46" s="899"/>
      <c r="C46" s="763">
        <f t="shared" ref="C46:R46" ca="1" si="5">SUM(C43:C45)</f>
        <v>0.92089041202845912</v>
      </c>
      <c r="D46" s="763">
        <f t="shared" ca="1" si="5"/>
        <v>0</v>
      </c>
      <c r="E46" s="763">
        <f t="shared" si="5"/>
        <v>3.2305501964283629</v>
      </c>
      <c r="F46" s="763">
        <f t="shared" si="5"/>
        <v>4.8730346134839433</v>
      </c>
      <c r="G46" s="763">
        <f t="shared" si="5"/>
        <v>0</v>
      </c>
      <c r="H46" s="763">
        <f t="shared" si="5"/>
        <v>2023.476353324686</v>
      </c>
      <c r="I46" s="763">
        <f t="shared" si="5"/>
        <v>449.97928254847602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2482.480111095103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72.030064056214613</v>
      </c>
      <c r="D48" s="718">
        <f ca="1">+landbouw!C12</f>
        <v>0</v>
      </c>
      <c r="E48" s="718">
        <f>+landbouw!D12</f>
        <v>25.167466582986631</v>
      </c>
      <c r="F48" s="718">
        <f>+landbouw!E12</f>
        <v>2.4950162871488462</v>
      </c>
      <c r="G48" s="718">
        <f>+landbouw!F12</f>
        <v>415.93714239680037</v>
      </c>
      <c r="H48" s="718">
        <f>+landbouw!G12</f>
        <v>0</v>
      </c>
      <c r="I48" s="718">
        <f>+landbouw!H12</f>
        <v>0</v>
      </c>
      <c r="J48" s="718">
        <f>+landbouw!I12</f>
        <v>0</v>
      </c>
      <c r="K48" s="718">
        <f>+landbouw!J12</f>
        <v>19.178299084852345</v>
      </c>
      <c r="L48" s="718">
        <f>+landbouw!K12</f>
        <v>0</v>
      </c>
      <c r="M48" s="718">
        <f>+landbouw!L12</f>
        <v>0</v>
      </c>
      <c r="N48" s="718">
        <f>+landbouw!M12</f>
        <v>0</v>
      </c>
      <c r="O48" s="718">
        <f>+landbouw!N12</f>
        <v>0</v>
      </c>
      <c r="P48" s="718">
        <f>+landbouw!O12</f>
        <v>0</v>
      </c>
      <c r="Q48" s="719">
        <f>+landbouw!P12</f>
        <v>0</v>
      </c>
      <c r="R48" s="761">
        <f ca="1">SUM(C48:Q48)</f>
        <v>534.80798840800287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1335.040825236742</v>
      </c>
      <c r="D53" s="773">
        <f t="shared" ref="D53:Q53" ca="1" si="6">D41+D46+D48</f>
        <v>0</v>
      </c>
      <c r="E53" s="773">
        <f t="shared" ca="1" si="6"/>
        <v>1100.4146239890943</v>
      </c>
      <c r="F53" s="773">
        <f t="shared" si="6"/>
        <v>217.88488021699996</v>
      </c>
      <c r="G53" s="773">
        <f t="shared" ca="1" si="6"/>
        <v>2687.5003205233229</v>
      </c>
      <c r="H53" s="773">
        <f t="shared" si="6"/>
        <v>2023.476353324686</v>
      </c>
      <c r="I53" s="773">
        <f t="shared" si="6"/>
        <v>449.97928254847602</v>
      </c>
      <c r="J53" s="773">
        <f t="shared" si="6"/>
        <v>0</v>
      </c>
      <c r="K53" s="773">
        <f t="shared" si="6"/>
        <v>677.16184006351796</v>
      </c>
      <c r="L53" s="773">
        <f t="shared" si="6"/>
        <v>0</v>
      </c>
      <c r="M53" s="773">
        <f t="shared" ca="1" si="6"/>
        <v>0</v>
      </c>
      <c r="N53" s="773">
        <f t="shared" si="6"/>
        <v>0</v>
      </c>
      <c r="O53" s="773">
        <f t="shared" ca="1" si="6"/>
        <v>0</v>
      </c>
      <c r="P53" s="773">
        <f>P41+P46+P48</f>
        <v>0</v>
      </c>
      <c r="Q53" s="774">
        <f t="shared" si="6"/>
        <v>0</v>
      </c>
      <c r="R53" s="775">
        <f ca="1">R41+R46+R48</f>
        <v>8491.45812590284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0.19262426338089861</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889.89430266107627</v>
      </c>
      <c r="C66" s="795">
        <f>'lokale energieproductie'!B6</f>
        <v>889.89430266107627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889.89430266107627</v>
      </c>
      <c r="C69" s="803">
        <f>SUM(C64:C68)</f>
        <v>889.89430266107627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3791.1626737259771</v>
      </c>
      <c r="C4" s="478">
        <f>huishoudens!C8</f>
        <v>0</v>
      </c>
      <c r="D4" s="478">
        <f>huishoudens!D8</f>
        <v>3094.8269474375761</v>
      </c>
      <c r="E4" s="478">
        <f>huishoudens!E8</f>
        <v>848.72897390951334</v>
      </c>
      <c r="F4" s="478">
        <f>huishoudens!F8</f>
        <v>8007.2470582140131</v>
      </c>
      <c r="G4" s="478">
        <f>huishoudens!G8</f>
        <v>0</v>
      </c>
      <c r="H4" s="478">
        <f>huishoudens!H8</f>
        <v>0</v>
      </c>
      <c r="I4" s="478">
        <f>huishoudens!I8</f>
        <v>0</v>
      </c>
      <c r="J4" s="478">
        <f>huishoudens!J8</f>
        <v>1858.2192311894814</v>
      </c>
      <c r="K4" s="478">
        <f>huishoudens!K8</f>
        <v>0</v>
      </c>
      <c r="L4" s="478">
        <f>huishoudens!L8</f>
        <v>0</v>
      </c>
      <c r="M4" s="478">
        <f>huishoudens!M8</f>
        <v>0</v>
      </c>
      <c r="N4" s="478">
        <f>huishoudens!N8</f>
        <v>2999.5490191417207</v>
      </c>
      <c r="O4" s="478">
        <f>huishoudens!O8</f>
        <v>89.11</v>
      </c>
      <c r="P4" s="479">
        <f>huishoudens!P8</f>
        <v>95.333333333333343</v>
      </c>
      <c r="Q4" s="480">
        <f>SUM(B4:P4)</f>
        <v>20784.177236951615</v>
      </c>
    </row>
    <row r="5" spans="1:17">
      <c r="A5" s="477" t="s">
        <v>156</v>
      </c>
      <c r="B5" s="478">
        <f ca="1">tertiair!B16</f>
        <v>2454.4647279755691</v>
      </c>
      <c r="C5" s="478">
        <f ca="1">tertiair!C16</f>
        <v>0</v>
      </c>
      <c r="D5" s="478">
        <f ca="1">tertiair!D16</f>
        <v>2061.6668127373796</v>
      </c>
      <c r="E5" s="478">
        <f>tertiair!E16</f>
        <v>59.316210633108504</v>
      </c>
      <c r="F5" s="478">
        <f ca="1">tertiair!F16</f>
        <v>440.99068253158396</v>
      </c>
      <c r="G5" s="478">
        <f>tertiair!G16</f>
        <v>0</v>
      </c>
      <c r="H5" s="478">
        <f>tertiair!H16</f>
        <v>0</v>
      </c>
      <c r="I5" s="478">
        <f>tertiair!I16</f>
        <v>0</v>
      </c>
      <c r="J5" s="478">
        <f>tertiair!J16</f>
        <v>2.50568045637364E-3</v>
      </c>
      <c r="K5" s="478">
        <f>tertiair!K16</f>
        <v>0</v>
      </c>
      <c r="L5" s="478">
        <f ca="1">tertiair!L16</f>
        <v>0</v>
      </c>
      <c r="M5" s="478">
        <f>tertiair!M16</f>
        <v>0</v>
      </c>
      <c r="N5" s="478">
        <f ca="1">tertiair!N16</f>
        <v>102.35079871792392</v>
      </c>
      <c r="O5" s="478">
        <f>tertiair!O16</f>
        <v>0</v>
      </c>
      <c r="P5" s="479">
        <f>tertiair!P16</f>
        <v>0</v>
      </c>
      <c r="Q5" s="477">
        <f t="shared" ref="Q5:Q13" ca="1" si="0">SUM(B5:P5)</f>
        <v>5118.7917382760206</v>
      </c>
    </row>
    <row r="6" spans="1:17">
      <c r="A6" s="477" t="s">
        <v>194</v>
      </c>
      <c r="B6" s="478">
        <f>'openbare verlichting'!B8</f>
        <v>129.53399999999999</v>
      </c>
      <c r="C6" s="478"/>
      <c r="D6" s="478"/>
      <c r="E6" s="478"/>
      <c r="F6" s="478"/>
      <c r="G6" s="478"/>
      <c r="H6" s="478"/>
      <c r="I6" s="478"/>
      <c r="J6" s="478"/>
      <c r="K6" s="478"/>
      <c r="L6" s="478"/>
      <c r="M6" s="478"/>
      <c r="N6" s="478"/>
      <c r="O6" s="478"/>
      <c r="P6" s="479"/>
      <c r="Q6" s="477">
        <f t="shared" si="0"/>
        <v>129.53399999999999</v>
      </c>
    </row>
    <row r="7" spans="1:17">
      <c r="A7" s="477" t="s">
        <v>112</v>
      </c>
      <c r="B7" s="478">
        <f>landbouw!B8</f>
        <v>373.94076318299062</v>
      </c>
      <c r="C7" s="478">
        <f>landbouw!C8</f>
        <v>0</v>
      </c>
      <c r="D7" s="478">
        <f>landbouw!D8</f>
        <v>124.59141872765657</v>
      </c>
      <c r="E7" s="478">
        <f>landbouw!E8</f>
        <v>10.991261176867162</v>
      </c>
      <c r="F7" s="478">
        <f>landbouw!F8</f>
        <v>1557.8170127220988</v>
      </c>
      <c r="G7" s="478">
        <f>landbouw!G8</f>
        <v>0</v>
      </c>
      <c r="H7" s="478">
        <f>landbouw!H8</f>
        <v>0</v>
      </c>
      <c r="I7" s="478">
        <f>landbouw!I8</f>
        <v>0</v>
      </c>
      <c r="J7" s="478">
        <f>landbouw!J8</f>
        <v>54.175986115402104</v>
      </c>
      <c r="K7" s="478">
        <f>landbouw!K8</f>
        <v>0</v>
      </c>
      <c r="L7" s="478">
        <f>landbouw!L8</f>
        <v>0</v>
      </c>
      <c r="M7" s="478">
        <f>landbouw!M8</f>
        <v>0</v>
      </c>
      <c r="N7" s="478">
        <f>landbouw!N8</f>
        <v>0</v>
      </c>
      <c r="O7" s="478">
        <f>landbouw!O8</f>
        <v>0</v>
      </c>
      <c r="P7" s="479">
        <f>landbouw!P8</f>
        <v>0</v>
      </c>
      <c r="Q7" s="477">
        <f t="shared" si="0"/>
        <v>2121.516441925015</v>
      </c>
    </row>
    <row r="8" spans="1:17">
      <c r="A8" s="477" t="s">
        <v>635</v>
      </c>
      <c r="B8" s="478">
        <f>industrie!B18</f>
        <v>176.92008905447591</v>
      </c>
      <c r="C8" s="478">
        <f>industrie!C18</f>
        <v>0</v>
      </c>
      <c r="D8" s="478">
        <f>industrie!D18</f>
        <v>150.51914680365499</v>
      </c>
      <c r="E8" s="478">
        <f>industrie!E18</f>
        <v>19.341728745339243</v>
      </c>
      <c r="F8" s="478">
        <f>industrie!F18</f>
        <v>59.489518155236524</v>
      </c>
      <c r="G8" s="478">
        <f>industrie!G18</f>
        <v>0</v>
      </c>
      <c r="H8" s="478">
        <f>industrie!H18</f>
        <v>0</v>
      </c>
      <c r="I8" s="478">
        <f>industrie!I18</f>
        <v>0</v>
      </c>
      <c r="J8" s="478">
        <f>industrie!J18</f>
        <v>0.48883086640562312</v>
      </c>
      <c r="K8" s="478">
        <f>industrie!K18</f>
        <v>0</v>
      </c>
      <c r="L8" s="478">
        <f>industrie!L18</f>
        <v>0</v>
      </c>
      <c r="M8" s="478">
        <f>industrie!M18</f>
        <v>0</v>
      </c>
      <c r="N8" s="478">
        <f>industrie!N18</f>
        <v>43.969672359050591</v>
      </c>
      <c r="O8" s="478">
        <f>industrie!O18</f>
        <v>0</v>
      </c>
      <c r="P8" s="479">
        <f>industrie!P18</f>
        <v>0</v>
      </c>
      <c r="Q8" s="477">
        <f t="shared" si="0"/>
        <v>450.72898598416293</v>
      </c>
    </row>
    <row r="9" spans="1:17" s="483" customFormat="1">
      <c r="A9" s="481" t="s">
        <v>561</v>
      </c>
      <c r="B9" s="482">
        <f>transport!B14</f>
        <v>4.7807602005333782</v>
      </c>
      <c r="C9" s="482">
        <f>transport!C14</f>
        <v>0</v>
      </c>
      <c r="D9" s="482">
        <f>transport!D14</f>
        <v>15.992822754595855</v>
      </c>
      <c r="E9" s="482">
        <f>transport!E14</f>
        <v>21.467112834731026</v>
      </c>
      <c r="F9" s="482">
        <f>transport!F14</f>
        <v>0</v>
      </c>
      <c r="G9" s="482">
        <f>transport!G14</f>
        <v>7401.2939728806668</v>
      </c>
      <c r="H9" s="482">
        <f>transport!H14</f>
        <v>1807.1457130460885</v>
      </c>
      <c r="I9" s="482">
        <f>transport!I14</f>
        <v>0</v>
      </c>
      <c r="J9" s="482">
        <f>transport!J14</f>
        <v>0</v>
      </c>
      <c r="K9" s="482">
        <f>transport!K14</f>
        <v>0</v>
      </c>
      <c r="L9" s="482">
        <f>transport!L14</f>
        <v>0</v>
      </c>
      <c r="M9" s="482">
        <f>transport!M14</f>
        <v>486.05849183946498</v>
      </c>
      <c r="N9" s="482">
        <f>transport!N14</f>
        <v>0</v>
      </c>
      <c r="O9" s="482">
        <f>transport!O14</f>
        <v>0</v>
      </c>
      <c r="P9" s="482">
        <f>transport!P14</f>
        <v>0</v>
      </c>
      <c r="Q9" s="481">
        <f>SUM(B9:P9)</f>
        <v>9736.7388735560799</v>
      </c>
    </row>
    <row r="10" spans="1:17">
      <c r="A10" s="477" t="s">
        <v>551</v>
      </c>
      <c r="B10" s="478">
        <f>transport!B54</f>
        <v>0</v>
      </c>
      <c r="C10" s="478">
        <f>transport!C54</f>
        <v>0</v>
      </c>
      <c r="D10" s="478">
        <f>transport!D54</f>
        <v>0</v>
      </c>
      <c r="E10" s="478">
        <f>transport!E54</f>
        <v>0</v>
      </c>
      <c r="F10" s="478">
        <f>transport!F54</f>
        <v>0</v>
      </c>
      <c r="G10" s="478">
        <f>transport!G54</f>
        <v>177.26914818557279</v>
      </c>
      <c r="H10" s="478">
        <f>transport!H54</f>
        <v>0</v>
      </c>
      <c r="I10" s="478">
        <f>transport!I54</f>
        <v>0</v>
      </c>
      <c r="J10" s="478">
        <f>transport!J54</f>
        <v>0</v>
      </c>
      <c r="K10" s="478">
        <f>transport!K54</f>
        <v>0</v>
      </c>
      <c r="L10" s="478">
        <f>transport!L54</f>
        <v>0</v>
      </c>
      <c r="M10" s="478">
        <f>transport!M54</f>
        <v>10.068105048745243</v>
      </c>
      <c r="N10" s="478">
        <f>transport!N54</f>
        <v>0</v>
      </c>
      <c r="O10" s="478">
        <f>transport!O54</f>
        <v>0</v>
      </c>
      <c r="P10" s="479">
        <f>transport!P54</f>
        <v>0</v>
      </c>
      <c r="Q10" s="477">
        <f t="shared" si="0"/>
        <v>187.33725323431804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6930.8030141395457</v>
      </c>
      <c r="C14" s="488">
        <f t="shared" ref="C14:Q14" ca="1" si="1">SUM(C4:C13)</f>
        <v>0</v>
      </c>
      <c r="D14" s="488">
        <f t="shared" ca="1" si="1"/>
        <v>5447.5971484608626</v>
      </c>
      <c r="E14" s="488">
        <f t="shared" si="1"/>
        <v>959.84528729955923</v>
      </c>
      <c r="F14" s="488">
        <f t="shared" ca="1" si="1"/>
        <v>10065.544271622932</v>
      </c>
      <c r="G14" s="488">
        <f t="shared" si="1"/>
        <v>7578.5631210662395</v>
      </c>
      <c r="H14" s="488">
        <f t="shared" si="1"/>
        <v>1807.1457130460885</v>
      </c>
      <c r="I14" s="488">
        <f t="shared" si="1"/>
        <v>0</v>
      </c>
      <c r="J14" s="488">
        <f t="shared" si="1"/>
        <v>1912.8865538517455</v>
      </c>
      <c r="K14" s="488">
        <f t="shared" si="1"/>
        <v>0</v>
      </c>
      <c r="L14" s="488">
        <f t="shared" ca="1" si="1"/>
        <v>0</v>
      </c>
      <c r="M14" s="488">
        <f t="shared" si="1"/>
        <v>496.1265968882102</v>
      </c>
      <c r="N14" s="488">
        <f t="shared" ca="1" si="1"/>
        <v>3145.8694902186953</v>
      </c>
      <c r="O14" s="488">
        <f t="shared" si="1"/>
        <v>89.11</v>
      </c>
      <c r="P14" s="489">
        <f t="shared" si="1"/>
        <v>95.333333333333343</v>
      </c>
      <c r="Q14" s="489">
        <f t="shared" ca="1" si="1"/>
        <v>38528.824529927209</v>
      </c>
    </row>
    <row r="16" spans="1:17">
      <c r="A16" s="491" t="s">
        <v>556</v>
      </c>
      <c r="B16" s="841">
        <f ca="1">huishoudens!B10</f>
        <v>0.19262426338089861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730.26991738362437</v>
      </c>
      <c r="C21" s="478">
        <f t="shared" ref="C21:C30" ca="1" si="3">C4*$C$16</f>
        <v>0</v>
      </c>
      <c r="D21" s="478">
        <f t="shared" ref="D21:D30" si="4">D4*$D$16</f>
        <v>625.15504338239043</v>
      </c>
      <c r="E21" s="478">
        <f t="shared" ref="E21:E30" si="5">E4*$E$16</f>
        <v>192.66147707745952</v>
      </c>
      <c r="F21" s="478">
        <f t="shared" ref="F21:F30" si="6">F4*$F$16</f>
        <v>2137.9349645431416</v>
      </c>
      <c r="G21" s="478">
        <f t="shared" ref="G21:G30" si="7">G4*$G$16</f>
        <v>0</v>
      </c>
      <c r="H21" s="478">
        <f t="shared" ref="H21:H30" si="8">H4*$H$16</f>
        <v>0</v>
      </c>
      <c r="I21" s="478">
        <f t="shared" ref="I21:I30" si="9">I4*$I$16</f>
        <v>0</v>
      </c>
      <c r="J21" s="478">
        <f t="shared" ref="J21:J30" si="10">J4*$J$16</f>
        <v>657.8096078410764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4343.8310102276928</v>
      </c>
    </row>
    <row r="22" spans="1:17">
      <c r="A22" s="477" t="s">
        <v>156</v>
      </c>
      <c r="B22" s="478">
        <f t="shared" ca="1" si="2"/>
        <v>472.78946022069169</v>
      </c>
      <c r="C22" s="478">
        <f t="shared" ca="1" si="3"/>
        <v>0</v>
      </c>
      <c r="D22" s="478">
        <f t="shared" ca="1" si="4"/>
        <v>416.45669617295073</v>
      </c>
      <c r="E22" s="478">
        <f t="shared" si="5"/>
        <v>13.46477981371563</v>
      </c>
      <c r="F22" s="478">
        <f t="shared" ca="1" si="6"/>
        <v>117.74451223593292</v>
      </c>
      <c r="G22" s="478">
        <f t="shared" si="7"/>
        <v>0</v>
      </c>
      <c r="H22" s="478">
        <f t="shared" si="8"/>
        <v>0</v>
      </c>
      <c r="I22" s="478">
        <f t="shared" si="9"/>
        <v>0</v>
      </c>
      <c r="J22" s="478">
        <f t="shared" si="10"/>
        <v>8.8701088155626856E-4</v>
      </c>
      <c r="K22" s="478">
        <f t="shared" si="11"/>
        <v>0</v>
      </c>
      <c r="L22" s="478">
        <f t="shared" ca="1" si="12"/>
        <v>0</v>
      </c>
      <c r="M22" s="478">
        <f t="shared" si="13"/>
        <v>0</v>
      </c>
      <c r="N22" s="478">
        <f t="shared" ca="1" si="14"/>
        <v>0</v>
      </c>
      <c r="O22" s="478">
        <f t="shared" si="15"/>
        <v>0</v>
      </c>
      <c r="P22" s="479">
        <f t="shared" si="16"/>
        <v>0</v>
      </c>
      <c r="Q22" s="477">
        <f t="shared" ref="Q22:Q30" ca="1" si="17">SUM(B22:P22)</f>
        <v>1020.4563354541725</v>
      </c>
    </row>
    <row r="23" spans="1:17">
      <c r="A23" s="477" t="s">
        <v>194</v>
      </c>
      <c r="B23" s="478">
        <f t="shared" ca="1" si="2"/>
        <v>24.95139133278132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24.95139133278132</v>
      </c>
    </row>
    <row r="24" spans="1:17">
      <c r="A24" s="477" t="s">
        <v>112</v>
      </c>
      <c r="B24" s="478">
        <f t="shared" ca="1" si="2"/>
        <v>72.030064056214613</v>
      </c>
      <c r="C24" s="478">
        <f t="shared" ca="1" si="3"/>
        <v>0</v>
      </c>
      <c r="D24" s="478">
        <f t="shared" si="4"/>
        <v>25.167466582986631</v>
      </c>
      <c r="E24" s="478">
        <f t="shared" si="5"/>
        <v>2.4950162871488462</v>
      </c>
      <c r="F24" s="478">
        <f t="shared" si="6"/>
        <v>415.93714239680037</v>
      </c>
      <c r="G24" s="478">
        <f t="shared" si="7"/>
        <v>0</v>
      </c>
      <c r="H24" s="478">
        <f t="shared" si="8"/>
        <v>0</v>
      </c>
      <c r="I24" s="478">
        <f t="shared" si="9"/>
        <v>0</v>
      </c>
      <c r="J24" s="478">
        <f t="shared" si="10"/>
        <v>19.178299084852345</v>
      </c>
      <c r="K24" s="478">
        <f t="shared" si="11"/>
        <v>0</v>
      </c>
      <c r="L24" s="478">
        <f t="shared" si="12"/>
        <v>0</v>
      </c>
      <c r="M24" s="478">
        <f t="shared" si="13"/>
        <v>0</v>
      </c>
      <c r="N24" s="478">
        <f t="shared" si="14"/>
        <v>0</v>
      </c>
      <c r="O24" s="478">
        <f t="shared" si="15"/>
        <v>0</v>
      </c>
      <c r="P24" s="479">
        <f t="shared" si="16"/>
        <v>0</v>
      </c>
      <c r="Q24" s="477">
        <f t="shared" ca="1" si="17"/>
        <v>534.80798840800287</v>
      </c>
    </row>
    <row r="25" spans="1:17">
      <c r="A25" s="477" t="s">
        <v>635</v>
      </c>
      <c r="B25" s="478">
        <f t="shared" ca="1" si="2"/>
        <v>34.079101831401402</v>
      </c>
      <c r="C25" s="478">
        <f t="shared" ca="1" si="3"/>
        <v>0</v>
      </c>
      <c r="D25" s="478">
        <f t="shared" si="4"/>
        <v>30.404867654338311</v>
      </c>
      <c r="E25" s="478">
        <f t="shared" si="5"/>
        <v>4.3905724251920084</v>
      </c>
      <c r="F25" s="478">
        <f t="shared" si="6"/>
        <v>15.883701347448152</v>
      </c>
      <c r="G25" s="478">
        <f t="shared" si="7"/>
        <v>0</v>
      </c>
      <c r="H25" s="478">
        <f t="shared" si="8"/>
        <v>0</v>
      </c>
      <c r="I25" s="478">
        <f t="shared" si="9"/>
        <v>0</v>
      </c>
      <c r="J25" s="478">
        <f t="shared" si="10"/>
        <v>0.17304612670759056</v>
      </c>
      <c r="K25" s="478">
        <f t="shared" si="11"/>
        <v>0</v>
      </c>
      <c r="L25" s="478">
        <f t="shared" si="12"/>
        <v>0</v>
      </c>
      <c r="M25" s="478">
        <f t="shared" si="13"/>
        <v>0</v>
      </c>
      <c r="N25" s="478">
        <f t="shared" si="14"/>
        <v>0</v>
      </c>
      <c r="O25" s="478">
        <f t="shared" si="15"/>
        <v>0</v>
      </c>
      <c r="P25" s="479">
        <f t="shared" si="16"/>
        <v>0</v>
      </c>
      <c r="Q25" s="477">
        <f t="shared" ca="1" si="17"/>
        <v>84.931289385087467</v>
      </c>
    </row>
    <row r="26" spans="1:17" s="483" customFormat="1">
      <c r="A26" s="481" t="s">
        <v>561</v>
      </c>
      <c r="B26" s="835">
        <f t="shared" ca="1" si="2"/>
        <v>0.92089041202845912</v>
      </c>
      <c r="C26" s="482">
        <f t="shared" ca="1" si="3"/>
        <v>0</v>
      </c>
      <c r="D26" s="482">
        <f t="shared" si="4"/>
        <v>3.2305501964283629</v>
      </c>
      <c r="E26" s="482">
        <f t="shared" si="5"/>
        <v>4.8730346134839433</v>
      </c>
      <c r="F26" s="482">
        <f t="shared" si="6"/>
        <v>0</v>
      </c>
      <c r="G26" s="482">
        <f t="shared" si="7"/>
        <v>1976.1454907591381</v>
      </c>
      <c r="H26" s="482">
        <f t="shared" si="8"/>
        <v>449.97928254847602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2435.1492485295548</v>
      </c>
    </row>
    <row r="27" spans="1:17">
      <c r="A27" s="477" t="s">
        <v>551</v>
      </c>
      <c r="B27" s="478">
        <f t="shared" ca="1" si="2"/>
        <v>0</v>
      </c>
      <c r="C27" s="478">
        <f t="shared" ca="1" si="3"/>
        <v>0</v>
      </c>
      <c r="D27" s="478">
        <f t="shared" si="4"/>
        <v>0</v>
      </c>
      <c r="E27" s="478">
        <f t="shared" si="5"/>
        <v>0</v>
      </c>
      <c r="F27" s="478">
        <f t="shared" si="6"/>
        <v>0</v>
      </c>
      <c r="G27" s="478">
        <f t="shared" si="7"/>
        <v>47.330862565547939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47.330862565547939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1335.0408252367417</v>
      </c>
      <c r="C31" s="488">
        <f t="shared" ca="1" si="18"/>
        <v>0</v>
      </c>
      <c r="D31" s="488">
        <f t="shared" ca="1" si="18"/>
        <v>1100.4146239890943</v>
      </c>
      <c r="E31" s="488">
        <f t="shared" si="18"/>
        <v>217.88488021699996</v>
      </c>
      <c r="F31" s="488">
        <f t="shared" ca="1" si="18"/>
        <v>2687.5003205233229</v>
      </c>
      <c r="G31" s="488">
        <f t="shared" si="18"/>
        <v>2023.476353324686</v>
      </c>
      <c r="H31" s="488">
        <f t="shared" si="18"/>
        <v>449.97928254847602</v>
      </c>
      <c r="I31" s="488">
        <f t="shared" si="18"/>
        <v>0</v>
      </c>
      <c r="J31" s="488">
        <f t="shared" si="18"/>
        <v>677.16184006351796</v>
      </c>
      <c r="K31" s="488">
        <f t="shared" si="18"/>
        <v>0</v>
      </c>
      <c r="L31" s="488">
        <f t="shared" ca="1" si="18"/>
        <v>0</v>
      </c>
      <c r="M31" s="488">
        <f t="shared" si="18"/>
        <v>0</v>
      </c>
      <c r="N31" s="488">
        <f t="shared" ca="1" si="18"/>
        <v>0</v>
      </c>
      <c r="O31" s="488">
        <f t="shared" si="18"/>
        <v>0</v>
      </c>
      <c r="P31" s="489">
        <f t="shared" si="18"/>
        <v>0</v>
      </c>
      <c r="Q31" s="489">
        <f t="shared" ca="1" si="18"/>
        <v>8491.4581259028382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0.19262426338089861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0.19262426338089861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0.19262426338089861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755</v>
      </c>
      <c r="C9" s="342">
        <v>906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752.15</v>
      </c>
    </row>
    <row r="15" spans="1:6">
      <c r="A15" s="348" t="s">
        <v>184</v>
      </c>
      <c r="B15" s="334">
        <v>9</v>
      </c>
    </row>
    <row r="16" spans="1:6">
      <c r="A16" s="348" t="s">
        <v>6</v>
      </c>
      <c r="B16" s="334">
        <v>362</v>
      </c>
    </row>
    <row r="17" spans="1:6">
      <c r="A17" s="348" t="s">
        <v>7</v>
      </c>
      <c r="B17" s="334">
        <v>172</v>
      </c>
    </row>
    <row r="18" spans="1:6">
      <c r="A18" s="348" t="s">
        <v>8</v>
      </c>
      <c r="B18" s="334">
        <v>283</v>
      </c>
    </row>
    <row r="19" spans="1:6">
      <c r="A19" s="348" t="s">
        <v>9</v>
      </c>
      <c r="B19" s="334">
        <v>346</v>
      </c>
    </row>
    <row r="20" spans="1:6">
      <c r="A20" s="348" t="s">
        <v>10</v>
      </c>
      <c r="B20" s="334">
        <v>171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35700</v>
      </c>
    </row>
    <row r="29" spans="1:6">
      <c r="A29" s="355" t="s">
        <v>744</v>
      </c>
      <c r="B29" s="355">
        <v>58</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195</v>
      </c>
      <c r="D39" s="334">
        <v>3431072.00381106</v>
      </c>
      <c r="E39" s="334">
        <v>708</v>
      </c>
      <c r="F39" s="334">
        <v>3200630.2975814501</v>
      </c>
    </row>
    <row r="40" spans="1:6">
      <c r="A40" s="348" t="s">
        <v>30</v>
      </c>
      <c r="B40" s="348" t="s">
        <v>29</v>
      </c>
      <c r="C40" s="334">
        <v>0</v>
      </c>
      <c r="D40" s="334">
        <v>0</v>
      </c>
      <c r="E40" s="334">
        <v>0</v>
      </c>
      <c r="F40" s="334">
        <v>0</v>
      </c>
    </row>
    <row r="41" spans="1:6">
      <c r="A41" s="348" t="s">
        <v>32</v>
      </c>
      <c r="B41" s="348" t="s">
        <v>33</v>
      </c>
      <c r="C41" s="334">
        <v>0</v>
      </c>
      <c r="D41" s="334">
        <v>0</v>
      </c>
      <c r="E41" s="334">
        <v>10</v>
      </c>
      <c r="F41" s="334">
        <v>40374.429024568897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v>
      </c>
      <c r="D48" s="334">
        <v>166872.66829673501</v>
      </c>
      <c r="E48" s="334">
        <v>10</v>
      </c>
      <c r="F48" s="334">
        <v>136545.66002990701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21</v>
      </c>
      <c r="F51" s="334">
        <v>277476.38107360399</v>
      </c>
    </row>
    <row r="52" spans="1:6">
      <c r="A52" s="348" t="s">
        <v>42</v>
      </c>
      <c r="B52" s="348" t="s">
        <v>29</v>
      </c>
      <c r="C52" s="334">
        <v>2</v>
      </c>
      <c r="D52" s="334">
        <v>18453.0701830035</v>
      </c>
      <c r="E52" s="334">
        <v>4</v>
      </c>
      <c r="F52" s="334">
        <v>96464.382109386599</v>
      </c>
    </row>
    <row r="53" spans="1:6">
      <c r="A53" s="348" t="s">
        <v>44</v>
      </c>
      <c r="B53" s="348" t="s">
        <v>45</v>
      </c>
      <c r="C53" s="334">
        <v>7</v>
      </c>
      <c r="D53" s="334">
        <v>119674.888495108</v>
      </c>
      <c r="E53" s="334">
        <v>32</v>
      </c>
      <c r="F53" s="334">
        <v>113934.147232163</v>
      </c>
    </row>
    <row r="54" spans="1:6">
      <c r="A54" s="348" t="s">
        <v>46</v>
      </c>
      <c r="B54" s="348" t="s">
        <v>47</v>
      </c>
      <c r="C54" s="334">
        <v>0</v>
      </c>
      <c r="D54" s="334">
        <v>0</v>
      </c>
      <c r="E54" s="334">
        <v>1</v>
      </c>
      <c r="F54" s="334">
        <v>129534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3</v>
      </c>
      <c r="F57" s="334">
        <v>14348.963681398</v>
      </c>
    </row>
    <row r="58" spans="1:6">
      <c r="A58" s="348" t="s">
        <v>49</v>
      </c>
      <c r="B58" s="348" t="s">
        <v>51</v>
      </c>
      <c r="C58" s="334">
        <v>4</v>
      </c>
      <c r="D58" s="334">
        <v>1262822.4536969899</v>
      </c>
      <c r="E58" s="334">
        <v>8</v>
      </c>
      <c r="F58" s="334">
        <v>35421.089584494999</v>
      </c>
    </row>
    <row r="59" spans="1:6">
      <c r="A59" s="348" t="s">
        <v>49</v>
      </c>
      <c r="B59" s="348" t="s">
        <v>52</v>
      </c>
      <c r="C59" s="334">
        <v>3</v>
      </c>
      <c r="D59" s="334">
        <v>99365.388873647797</v>
      </c>
      <c r="E59" s="334">
        <v>13</v>
      </c>
      <c r="F59" s="334">
        <v>1265999.5962451401</v>
      </c>
    </row>
    <row r="60" spans="1:6">
      <c r="A60" s="348" t="s">
        <v>49</v>
      </c>
      <c r="B60" s="348" t="s">
        <v>53</v>
      </c>
      <c r="C60" s="334">
        <v>3</v>
      </c>
      <c r="D60" s="334">
        <v>50706.870838905001</v>
      </c>
      <c r="E60" s="334">
        <v>14</v>
      </c>
      <c r="F60" s="334">
        <v>148492.385938163</v>
      </c>
    </row>
    <row r="61" spans="1:6">
      <c r="A61" s="348" t="s">
        <v>49</v>
      </c>
      <c r="B61" s="348" t="s">
        <v>54</v>
      </c>
      <c r="C61" s="334">
        <v>0</v>
      </c>
      <c r="D61" s="334">
        <v>0</v>
      </c>
      <c r="E61" s="334">
        <v>15</v>
      </c>
      <c r="F61" s="334">
        <v>84071.024706104203</v>
      </c>
    </row>
    <row r="62" spans="1:6">
      <c r="A62" s="348" t="s">
        <v>49</v>
      </c>
      <c r="B62" s="348" t="s">
        <v>55</v>
      </c>
      <c r="C62" s="334">
        <v>0</v>
      </c>
      <c r="D62" s="334">
        <v>0</v>
      </c>
      <c r="E62" s="334">
        <v>0</v>
      </c>
      <c r="F62" s="334">
        <v>0</v>
      </c>
    </row>
    <row r="63" spans="1:6">
      <c r="A63" s="348" t="s">
        <v>49</v>
      </c>
      <c r="B63" s="348" t="s">
        <v>29</v>
      </c>
      <c r="C63" s="334">
        <v>26</v>
      </c>
      <c r="D63" s="334">
        <v>872766.94150994695</v>
      </c>
      <c r="E63" s="334">
        <v>50</v>
      </c>
      <c r="F63" s="334">
        <v>906131.66782026901</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3</v>
      </c>
      <c r="F66" s="334">
        <v>17504</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10351428</v>
      </c>
      <c r="E73" s="476">
        <v>11548664.489172122</v>
      </c>
    </row>
    <row r="74" spans="1:6">
      <c r="A74" s="348" t="s">
        <v>64</v>
      </c>
      <c r="B74" s="348" t="s">
        <v>657</v>
      </c>
      <c r="C74" s="1213" t="s">
        <v>659</v>
      </c>
      <c r="D74" s="476">
        <v>727634.50300055719</v>
      </c>
      <c r="E74" s="476">
        <v>784327.9238259159</v>
      </c>
    </row>
    <row r="75" spans="1:6">
      <c r="A75" s="348" t="s">
        <v>65</v>
      </c>
      <c r="B75" s="348" t="s">
        <v>656</v>
      </c>
      <c r="C75" s="1213" t="s">
        <v>660</v>
      </c>
      <c r="D75" s="476">
        <v>1800885</v>
      </c>
      <c r="E75" s="476">
        <v>2010084.2767430982</v>
      </c>
    </row>
    <row r="76" spans="1:6">
      <c r="A76" s="348" t="s">
        <v>65</v>
      </c>
      <c r="B76" s="348" t="s">
        <v>657</v>
      </c>
      <c r="C76" s="1213" t="s">
        <v>661</v>
      </c>
      <c r="D76" s="476">
        <v>11473.503000557241</v>
      </c>
      <c r="E76" s="476">
        <v>14379.543056171955</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50808.993998885519</v>
      </c>
      <c r="C83" s="476">
        <v>50613.899443764734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590.53237614452712</v>
      </c>
    </row>
    <row r="92" spans="1:6">
      <c r="A92" s="341" t="s">
        <v>69</v>
      </c>
      <c r="B92" s="342">
        <v>299.36192651654915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v>
      </c>
    </row>
    <row r="98" spans="1:6">
      <c r="A98" s="348" t="s">
        <v>72</v>
      </c>
      <c r="B98" s="334">
        <v>0</v>
      </c>
    </row>
    <row r="99" spans="1:6">
      <c r="A99" s="348" t="s">
        <v>73</v>
      </c>
      <c r="B99" s="334">
        <v>27</v>
      </c>
    </row>
    <row r="100" spans="1:6">
      <c r="A100" s="348" t="s">
        <v>74</v>
      </c>
      <c r="B100" s="334">
        <v>75</v>
      </c>
    </row>
    <row r="101" spans="1:6">
      <c r="A101" s="348" t="s">
        <v>75</v>
      </c>
      <c r="B101" s="334">
        <v>28</v>
      </c>
    </row>
    <row r="102" spans="1:6">
      <c r="A102" s="348" t="s">
        <v>76</v>
      </c>
      <c r="B102" s="334">
        <v>18</v>
      </c>
    </row>
    <row r="103" spans="1:6">
      <c r="A103" s="348" t="s">
        <v>77</v>
      </c>
      <c r="B103" s="334">
        <v>72</v>
      </c>
    </row>
    <row r="104" spans="1:6">
      <c r="A104" s="348" t="s">
        <v>78</v>
      </c>
      <c r="B104" s="334">
        <v>483</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0</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6930.8030141395466</v>
      </c>
      <c r="C3" s="43" t="s">
        <v>170</v>
      </c>
      <c r="D3" s="43"/>
      <c r="E3" s="154"/>
      <c r="F3" s="43"/>
      <c r="G3" s="43"/>
      <c r="H3" s="43"/>
      <c r="I3" s="43"/>
      <c r="J3" s="43"/>
      <c r="K3" s="96"/>
    </row>
    <row r="4" spans="1:11">
      <c r="A4" s="383" t="s">
        <v>171</v>
      </c>
      <c r="B4" s="49">
        <f>IF(ISERROR('SEAP template'!B69),0,'SEAP template'!B69)</f>
        <v>889.89430266107627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0.19262426338089861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129.53399999999999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129.53399999999999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0.19262426338089861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24.95139133278132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3200.6302975814501</v>
      </c>
      <c r="C5" s="17">
        <f>IF(ISERROR('Eigen informatie GS &amp; warmtenet'!B57),0,'Eigen informatie GS &amp; warmtenet'!B57)</f>
        <v>0</v>
      </c>
      <c r="D5" s="30">
        <f>(SUM(HH_hh_gas_kWh,HH_rest_gas_kWh)/1000)*0.902</f>
        <v>3094.8269474375761</v>
      </c>
      <c r="E5" s="17">
        <f>B46*B57</f>
        <v>848.72897390951334</v>
      </c>
      <c r="F5" s="17">
        <f>B51*B62</f>
        <v>8007.2470582140131</v>
      </c>
      <c r="G5" s="18"/>
      <c r="H5" s="17"/>
      <c r="I5" s="17"/>
      <c r="J5" s="17">
        <f>B50*B61+C50*C61</f>
        <v>1858.2192311894814</v>
      </c>
      <c r="K5" s="17"/>
      <c r="L5" s="17"/>
      <c r="M5" s="17"/>
      <c r="N5" s="17">
        <f>B48*B59+C48*C59</f>
        <v>2999.5490191417207</v>
      </c>
      <c r="O5" s="17">
        <f>B69*B70*B71</f>
        <v>89.11</v>
      </c>
      <c r="P5" s="17">
        <f>B77*B78*B79/1000-B77*B78*B79/1000/B80</f>
        <v>95.333333333333343</v>
      </c>
    </row>
    <row r="6" spans="1:16">
      <c r="A6" s="16" t="s">
        <v>621</v>
      </c>
      <c r="B6" s="843">
        <f>kWh_PV_kleiner_dan_10kW</f>
        <v>590.53237614452712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3791.1626737259771</v>
      </c>
      <c r="C8" s="21">
        <f>C5</f>
        <v>0</v>
      </c>
      <c r="D8" s="21">
        <f>D5</f>
        <v>3094.8269474375761</v>
      </c>
      <c r="E8" s="21">
        <f>E5</f>
        <v>848.72897390951334</v>
      </c>
      <c r="F8" s="21">
        <f>F5</f>
        <v>8007.2470582140131</v>
      </c>
      <c r="G8" s="21"/>
      <c r="H8" s="21"/>
      <c r="I8" s="21"/>
      <c r="J8" s="21">
        <f>J5</f>
        <v>1858.2192311894814</v>
      </c>
      <c r="K8" s="21"/>
      <c r="L8" s="21">
        <f>L5</f>
        <v>0</v>
      </c>
      <c r="M8" s="21">
        <f>M5</f>
        <v>0</v>
      </c>
      <c r="N8" s="21">
        <f>N5</f>
        <v>2999.5490191417207</v>
      </c>
      <c r="O8" s="21">
        <f>O5</f>
        <v>89.11</v>
      </c>
      <c r="P8" s="21">
        <f>P5</f>
        <v>95.333333333333343</v>
      </c>
    </row>
    <row r="9" spans="1:16">
      <c r="B9" s="19"/>
      <c r="C9" s="19"/>
      <c r="D9" s="258"/>
      <c r="E9" s="19"/>
      <c r="F9" s="19"/>
      <c r="G9" s="19"/>
      <c r="H9" s="19"/>
      <c r="I9" s="19"/>
      <c r="J9" s="19"/>
      <c r="K9" s="19"/>
      <c r="L9" s="19"/>
      <c r="M9" s="19"/>
      <c r="N9" s="19"/>
      <c r="O9" s="19"/>
      <c r="P9" s="19"/>
    </row>
    <row r="10" spans="1:16">
      <c r="A10" s="24" t="s">
        <v>214</v>
      </c>
      <c r="B10" s="25">
        <f ca="1">'EF ele_warmte'!B12</f>
        <v>0.19262426338089861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730.26991738362437</v>
      </c>
      <c r="C12" s="23">
        <f ca="1">C10*C8</f>
        <v>0</v>
      </c>
      <c r="D12" s="23">
        <f>D8*D10</f>
        <v>625.15504338239043</v>
      </c>
      <c r="E12" s="23">
        <f>E10*E8</f>
        <v>192.66147707745952</v>
      </c>
      <c r="F12" s="23">
        <f>F10*F8</f>
        <v>2137.9349645431416</v>
      </c>
      <c r="G12" s="23"/>
      <c r="H12" s="23"/>
      <c r="I12" s="23"/>
      <c r="J12" s="23">
        <f>J10*J8</f>
        <v>657.8096078410764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v>
      </c>
      <c r="C18" s="166" t="s">
        <v>111</v>
      </c>
      <c r="D18" s="228"/>
      <c r="E18" s="15"/>
    </row>
    <row r="19" spans="1:7">
      <c r="A19" s="171" t="s">
        <v>72</v>
      </c>
      <c r="B19" s="37">
        <f>aantalw2001_ander</f>
        <v>0</v>
      </c>
      <c r="C19" s="166" t="s">
        <v>111</v>
      </c>
      <c r="D19" s="229"/>
      <c r="E19" s="15"/>
    </row>
    <row r="20" spans="1:7">
      <c r="A20" s="171" t="s">
        <v>73</v>
      </c>
      <c r="B20" s="37">
        <f>aantalw2001_propaan</f>
        <v>27</v>
      </c>
      <c r="C20" s="167">
        <f>IF(ISERROR(B20/SUM($B$20,$B$21,$B$22)*100),0,B20/SUM($B$20,$B$21,$B$22)*100)</f>
        <v>20.76923076923077</v>
      </c>
      <c r="D20" s="229"/>
      <c r="E20" s="15"/>
    </row>
    <row r="21" spans="1:7">
      <c r="A21" s="171" t="s">
        <v>74</v>
      </c>
      <c r="B21" s="37">
        <f>aantalw2001_elektriciteit</f>
        <v>75</v>
      </c>
      <c r="C21" s="167">
        <f>IF(ISERROR(B21/SUM($B$20,$B$21,$B$22)*100),0,B21/SUM($B$20,$B$21,$B$22)*100)</f>
        <v>57.692307692307686</v>
      </c>
      <c r="D21" s="229"/>
      <c r="E21" s="15"/>
    </row>
    <row r="22" spans="1:7">
      <c r="A22" s="171" t="s">
        <v>75</v>
      </c>
      <c r="B22" s="37">
        <f>aantalw2001_hout</f>
        <v>28</v>
      </c>
      <c r="C22" s="167">
        <f>IF(ISERROR(B22/SUM($B$20,$B$21,$B$22)*100),0,B22/SUM($B$20,$B$21,$B$22)*100)</f>
        <v>21.53846153846154</v>
      </c>
      <c r="D22" s="229"/>
      <c r="E22" s="15"/>
    </row>
    <row r="23" spans="1:7">
      <c r="A23" s="171" t="s">
        <v>76</v>
      </c>
      <c r="B23" s="37">
        <f>aantalw2001_niet_gespec</f>
        <v>18</v>
      </c>
      <c r="C23" s="166" t="s">
        <v>111</v>
      </c>
      <c r="D23" s="228"/>
      <c r="E23" s="15"/>
    </row>
    <row r="24" spans="1:7">
      <c r="A24" s="171" t="s">
        <v>77</v>
      </c>
      <c r="B24" s="37">
        <f>aantalw2001_steenkool</f>
        <v>72</v>
      </c>
      <c r="C24" s="166" t="s">
        <v>111</v>
      </c>
      <c r="D24" s="229"/>
      <c r="E24" s="15"/>
    </row>
    <row r="25" spans="1:7">
      <c r="A25" s="171" t="s">
        <v>78</v>
      </c>
      <c r="B25" s="37">
        <f>aantalw2001_stookolie</f>
        <v>483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755</v>
      </c>
      <c r="C28" s="36"/>
      <c r="D28" s="228"/>
    </row>
    <row r="29" spans="1:7" s="15" customFormat="1">
      <c r="A29" s="230" t="s">
        <v>795</v>
      </c>
      <c r="B29" s="37">
        <f>SUM(HH_hh_gas_aantal,HH_rest_gas_aantal)</f>
        <v>195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195</v>
      </c>
      <c r="C32" s="167">
        <f>IF(ISERROR(B32/SUM($B$32,$B$34,$B$35,$B$36,$B$38,$B$39)*100),0,B32/SUM($B$32,$B$34,$B$35,$B$36,$B$38,$B$39)*100)</f>
        <v>26</v>
      </c>
      <c r="D32" s="233"/>
      <c r="G32" s="15"/>
    </row>
    <row r="33" spans="1:7">
      <c r="A33" s="171" t="s">
        <v>72</v>
      </c>
      <c r="B33" s="34" t="s">
        <v>111</v>
      </c>
      <c r="C33" s="167"/>
      <c r="D33" s="233"/>
      <c r="G33" s="15"/>
    </row>
    <row r="34" spans="1:7">
      <c r="A34" s="171" t="s">
        <v>73</v>
      </c>
      <c r="B34" s="33">
        <f>IF((($B$28-$B$32-$B$39-$B$77-$B$38)*C20/100)&lt;0,0,($B$28-$B$32-$B$39-$B$77-$B$38)*C20/100)</f>
        <v>40.084615384615397</v>
      </c>
      <c r="C34" s="167">
        <f>IF(ISERROR(B34/SUM($B$32,$B$34,$B$35,$B$36,$B$38,$B$39)*100),0,B34/SUM($B$32,$B$34,$B$35,$B$36,$B$38,$B$39)*100)</f>
        <v>5.3446153846153868</v>
      </c>
      <c r="D34" s="233"/>
      <c r="G34" s="15"/>
    </row>
    <row r="35" spans="1:7">
      <c r="A35" s="171" t="s">
        <v>74</v>
      </c>
      <c r="B35" s="33">
        <f>IF((($B$28-$B$32-$B$39-$B$77-$B$38)*C21/100)&lt;0,0,($B$28-$B$32-$B$39-$B$77-$B$38)*C21/100)</f>
        <v>111.34615384615387</v>
      </c>
      <c r="C35" s="167">
        <f>IF(ISERROR(B35/SUM($B$32,$B$34,$B$35,$B$36,$B$38,$B$39)*100),0,B35/SUM($B$32,$B$34,$B$35,$B$36,$B$38,$B$39)*100)</f>
        <v>14.846153846153848</v>
      </c>
      <c r="D35" s="233"/>
      <c r="G35" s="15"/>
    </row>
    <row r="36" spans="1:7">
      <c r="A36" s="171" t="s">
        <v>75</v>
      </c>
      <c r="B36" s="33">
        <f>IF((($B$28-$B$32-$B$39-$B$77-$B$38)*C22/100)&lt;0,0,($B$28-$B$32-$B$39-$B$77-$B$38)*C22/100)</f>
        <v>41.569230769230778</v>
      </c>
      <c r="C36" s="167">
        <f>IF(ISERROR(B36/SUM($B$32,$B$34,$B$35,$B$36,$B$38,$B$39)*100),0,B36/SUM($B$32,$B$34,$B$35,$B$36,$B$38,$B$39)*100)</f>
        <v>5.5425641025641035</v>
      </c>
      <c r="D36" s="233"/>
      <c r="G36" s="15"/>
    </row>
    <row r="37" spans="1:7">
      <c r="A37" s="171" t="s">
        <v>76</v>
      </c>
      <c r="B37" s="34" t="s">
        <v>111</v>
      </c>
      <c r="C37" s="167"/>
      <c r="D37" s="173"/>
      <c r="G37" s="15"/>
    </row>
    <row r="38" spans="1:7">
      <c r="A38" s="171" t="s">
        <v>77</v>
      </c>
      <c r="B38" s="33">
        <f>IF((B24-(B29-B18)*0.1)&lt;0,0,B24-(B29-B18)*0.1)</f>
        <v>52.7</v>
      </c>
      <c r="C38" s="167">
        <f>IF(ISERROR(B38/SUM($B$32,$B$34,$B$35,$B$36,$B$38,$B$39)*100),0,B38/SUM($B$32,$B$34,$B$35,$B$36,$B$38,$B$39)*100)</f>
        <v>7.0266666666666673</v>
      </c>
      <c r="D38" s="234"/>
      <c r="G38" s="15"/>
    </row>
    <row r="39" spans="1:7">
      <c r="A39" s="171" t="s">
        <v>78</v>
      </c>
      <c r="B39" s="33">
        <f>IF((B25-(B29-B18))&lt;0,0,B25-(B29-B18)*0.9)</f>
        <v>309.29999999999995</v>
      </c>
      <c r="C39" s="167">
        <f>IF(ISERROR(B39/SUM($B$32,$B$34,$B$35,$B$36,$B$38,$B$39)*100),0,B39/SUM($B$32,$B$34,$B$35,$B$36,$B$38,$B$39)*100)</f>
        <v>41.239999999999995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195</v>
      </c>
      <c r="C44" s="34" t="s">
        <v>111</v>
      </c>
      <c r="D44" s="174"/>
    </row>
    <row r="45" spans="1:7">
      <c r="A45" s="171" t="s">
        <v>72</v>
      </c>
      <c r="B45" s="33" t="str">
        <f t="shared" si="0"/>
        <v>-</v>
      </c>
      <c r="C45" s="34" t="s">
        <v>111</v>
      </c>
      <c r="D45" s="174"/>
    </row>
    <row r="46" spans="1:7">
      <c r="A46" s="171" t="s">
        <v>73</v>
      </c>
      <c r="B46" s="33">
        <f t="shared" si="0"/>
        <v>40.084615384615397</v>
      </c>
      <c r="C46" s="34" t="s">
        <v>111</v>
      </c>
      <c r="D46" s="174"/>
    </row>
    <row r="47" spans="1:7">
      <c r="A47" s="171" t="s">
        <v>74</v>
      </c>
      <c r="B47" s="33">
        <f t="shared" si="0"/>
        <v>111.34615384615387</v>
      </c>
      <c r="C47" s="34" t="s">
        <v>111</v>
      </c>
      <c r="D47" s="174"/>
    </row>
    <row r="48" spans="1:7">
      <c r="A48" s="171" t="s">
        <v>75</v>
      </c>
      <c r="B48" s="33">
        <f t="shared" si="0"/>
        <v>41.569230769230778</v>
      </c>
      <c r="C48" s="33">
        <f>B48*10</f>
        <v>415.69230769230779</v>
      </c>
      <c r="D48" s="234"/>
    </row>
    <row r="49" spans="1:6">
      <c r="A49" s="171" t="s">
        <v>76</v>
      </c>
      <c r="B49" s="33" t="str">
        <f t="shared" si="0"/>
        <v>-</v>
      </c>
      <c r="C49" s="34" t="s">
        <v>111</v>
      </c>
      <c r="D49" s="234"/>
    </row>
    <row r="50" spans="1:6">
      <c r="A50" s="171" t="s">
        <v>77</v>
      </c>
      <c r="B50" s="33">
        <f t="shared" si="0"/>
        <v>52.7</v>
      </c>
      <c r="C50" s="33">
        <f>B50*2</f>
        <v>105.4</v>
      </c>
      <c r="D50" s="234"/>
    </row>
    <row r="51" spans="1:6">
      <c r="A51" s="171" t="s">
        <v>78</v>
      </c>
      <c r="B51" s="33">
        <f t="shared" si="0"/>
        <v>309.29999999999995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2454.4647279755691</v>
      </c>
      <c r="C5" s="17">
        <f>IF(ISERROR('Eigen informatie GS &amp; warmtenet'!B58),0,'Eigen informatie GS &amp; warmtenet'!B58)</f>
        <v>0</v>
      </c>
      <c r="D5" s="30">
        <f>SUM(D6:D12)</f>
        <v>2061.6668127373796</v>
      </c>
      <c r="E5" s="17">
        <f>SUM(E6:E12)</f>
        <v>59.316210633108504</v>
      </c>
      <c r="F5" s="17">
        <f>SUM(F6:F12)</f>
        <v>440.99068253158396</v>
      </c>
      <c r="G5" s="18"/>
      <c r="H5" s="17"/>
      <c r="I5" s="17"/>
      <c r="J5" s="17">
        <f>SUM(J6:J12)</f>
        <v>2.50568045637364E-3</v>
      </c>
      <c r="K5" s="17"/>
      <c r="L5" s="17"/>
      <c r="M5" s="17"/>
      <c r="N5" s="17">
        <f>SUM(N6:N12)</f>
        <v>102.35079871792392</v>
      </c>
      <c r="O5" s="17">
        <f>B38*B39*B40</f>
        <v>0</v>
      </c>
      <c r="P5" s="17">
        <f>B46*B47*B48/1000-B46*B47*B48/1000/B49</f>
        <v>0</v>
      </c>
      <c r="R5" s="32"/>
    </row>
    <row r="6" spans="1:18">
      <c r="A6" s="32" t="s">
        <v>54</v>
      </c>
      <c r="B6" s="37">
        <f>B26</f>
        <v>84.071024706104197</v>
      </c>
      <c r="C6" s="33"/>
      <c r="D6" s="37">
        <f>IF(ISERROR(TER_kantoor_gas_kWh/1000),0,TER_kantoor_gas_kWh/1000)*0.902</f>
        <v>0</v>
      </c>
      <c r="E6" s="33">
        <f>$C$26*'E Balans VL '!I12/100/3.6*1000000</f>
        <v>5.269292212731015E-4</v>
      </c>
      <c r="F6" s="33">
        <f>$C$26*('E Balans VL '!L12+'E Balans VL '!N12)/100/3.6*1000000</f>
        <v>12.633525844848135</v>
      </c>
      <c r="G6" s="34"/>
      <c r="H6" s="33"/>
      <c r="I6" s="33"/>
      <c r="J6" s="33">
        <f>$C$26*('E Balans VL '!D12+'E Balans VL '!E12)/100/3.6*1000000</f>
        <v>0</v>
      </c>
      <c r="K6" s="33"/>
      <c r="L6" s="33"/>
      <c r="M6" s="33"/>
      <c r="N6" s="33">
        <f>$C$26*'E Balans VL '!Y12/100/3.6*1000000</f>
        <v>8.0401470234026218E-2</v>
      </c>
      <c r="O6" s="33"/>
      <c r="P6" s="33"/>
      <c r="R6" s="32"/>
    </row>
    <row r="7" spans="1:18">
      <c r="A7" s="32" t="s">
        <v>53</v>
      </c>
      <c r="B7" s="37">
        <f t="shared" ref="B7:B12" si="0">B27</f>
        <v>148.49238593816301</v>
      </c>
      <c r="C7" s="33"/>
      <c r="D7" s="37">
        <f>IF(ISERROR(TER_horeca_gas_kWh/1000),0,TER_horeca_gas_kWh/1000)*0.902</f>
        <v>45.73759749669231</v>
      </c>
      <c r="E7" s="33">
        <f>$C$27*'E Balans VL '!I9/100/3.6*1000000</f>
        <v>2.1263862325246916</v>
      </c>
      <c r="F7" s="33">
        <f>$C$27*('E Balans VL '!L9+'E Balans VL '!N9)/100/3.6*1000000</f>
        <v>18.804033527338849</v>
      </c>
      <c r="G7" s="34"/>
      <c r="H7" s="33"/>
      <c r="I7" s="33"/>
      <c r="J7" s="33">
        <f>$C$27*('E Balans VL '!D9+'E Balans VL '!E9)/100/3.6*1000000</f>
        <v>0</v>
      </c>
      <c r="K7" s="33"/>
      <c r="L7" s="33"/>
      <c r="M7" s="33"/>
      <c r="N7" s="33">
        <f>$C$27*'E Balans VL '!Y9/100/3.6*1000000</f>
        <v>4.2688286981148946E-2</v>
      </c>
      <c r="O7" s="33"/>
      <c r="P7" s="33"/>
      <c r="R7" s="32"/>
    </row>
    <row r="8" spans="1:18">
      <c r="A8" s="6" t="s">
        <v>52</v>
      </c>
      <c r="B8" s="37">
        <f t="shared" si="0"/>
        <v>1265.9995962451401</v>
      </c>
      <c r="C8" s="33"/>
      <c r="D8" s="37">
        <f>IF(ISERROR(TER_handel_gas_kWh/1000),0,TER_handel_gas_kWh/1000)*0.902</f>
        <v>89.627580764030327</v>
      </c>
      <c r="E8" s="33">
        <f>$C$28*'E Balans VL '!I13/100/3.6*1000000</f>
        <v>45.917649239735262</v>
      </c>
      <c r="F8" s="33">
        <f>$C$28*('E Balans VL '!L13+'E Balans VL '!N13)/100/3.6*1000000</f>
        <v>243.84434129773638</v>
      </c>
      <c r="G8" s="34"/>
      <c r="H8" s="33"/>
      <c r="I8" s="33"/>
      <c r="J8" s="33">
        <f>$C$28*('E Balans VL '!D13+'E Balans VL '!E13)/100/3.6*1000000</f>
        <v>0</v>
      </c>
      <c r="K8" s="33"/>
      <c r="L8" s="33"/>
      <c r="M8" s="33"/>
      <c r="N8" s="33">
        <f>$C$28*'E Balans VL '!Y13/100/3.6*1000000</f>
        <v>1.7537007343153135</v>
      </c>
      <c r="O8" s="33"/>
      <c r="P8" s="33"/>
      <c r="R8" s="32"/>
    </row>
    <row r="9" spans="1:18">
      <c r="A9" s="32" t="s">
        <v>51</v>
      </c>
      <c r="B9" s="37">
        <f t="shared" si="0"/>
        <v>35.421089584495</v>
      </c>
      <c r="C9" s="33"/>
      <c r="D9" s="37">
        <f>IF(ISERROR(TER_gezond_gas_kWh/1000),0,TER_gezond_gas_kWh/1000)*0.902</f>
        <v>1139.0658532346849</v>
      </c>
      <c r="E9" s="33">
        <f>$C$29*'E Balans VL '!I10/100/3.6*1000000</f>
        <v>2.2177099280684489E-3</v>
      </c>
      <c r="F9" s="33">
        <f>$C$29*('E Balans VL '!L10+'E Balans VL '!N10)/100/3.6*1000000</f>
        <v>5.2619107047237179</v>
      </c>
      <c r="G9" s="34"/>
      <c r="H9" s="33"/>
      <c r="I9" s="33"/>
      <c r="J9" s="33">
        <f>$C$29*('E Balans VL '!D10+'E Balans VL '!E10)/100/3.6*1000000</f>
        <v>0</v>
      </c>
      <c r="K9" s="33"/>
      <c r="L9" s="33"/>
      <c r="M9" s="33"/>
      <c r="N9" s="33">
        <f>$C$29*'E Balans VL '!Y10/100/3.6*1000000</f>
        <v>0.54789683153595592</v>
      </c>
      <c r="O9" s="33"/>
      <c r="P9" s="33"/>
      <c r="R9" s="32"/>
    </row>
    <row r="10" spans="1:18">
      <c r="A10" s="32" t="s">
        <v>50</v>
      </c>
      <c r="B10" s="37">
        <f t="shared" si="0"/>
        <v>14.348963681397999</v>
      </c>
      <c r="C10" s="33"/>
      <c r="D10" s="37">
        <f>IF(ISERROR(TER_ander_gas_kWh/1000),0,TER_ander_gas_kWh/1000)*0.902</f>
        <v>0</v>
      </c>
      <c r="E10" s="33">
        <f>$C$30*'E Balans VL '!I14/100/3.6*1000000</f>
        <v>1.7103451962903176E-2</v>
      </c>
      <c r="F10" s="33">
        <f>$C$30*('E Balans VL '!L14+'E Balans VL '!N14)/100/3.6*1000000</f>
        <v>3.7543268038759421</v>
      </c>
      <c r="G10" s="34"/>
      <c r="H10" s="33"/>
      <c r="I10" s="33"/>
      <c r="J10" s="33">
        <f>$C$30*('E Balans VL '!D14+'E Balans VL '!E14)/100/3.6*1000000</f>
        <v>3.1145975513859238E-4</v>
      </c>
      <c r="K10" s="33"/>
      <c r="L10" s="33"/>
      <c r="M10" s="33"/>
      <c r="N10" s="33">
        <f>$C$30*'E Balans VL '!Y14/100/3.6*1000000</f>
        <v>12.184788844044181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906.13166782026906</v>
      </c>
      <c r="C12" s="33"/>
      <c r="D12" s="37">
        <f>IF(ISERROR(TER_rest_gas_kWh/1000),0,TER_rest_gas_kWh/1000)*0.902</f>
        <v>787.23578124197218</v>
      </c>
      <c r="E12" s="33">
        <f>$C$32*'E Balans VL '!I8/100/3.6*1000000</f>
        <v>11.252327069736301</v>
      </c>
      <c r="F12" s="33">
        <f>$C$32*('E Balans VL '!L8+'E Balans VL '!N8)/100/3.6*1000000</f>
        <v>156.69254435306098</v>
      </c>
      <c r="G12" s="34"/>
      <c r="H12" s="33"/>
      <c r="I12" s="33"/>
      <c r="J12" s="33">
        <f>$C$32*('E Balans VL '!D8+'E Balans VL '!E8)/100/3.6*1000000</f>
        <v>2.1942207012350477E-3</v>
      </c>
      <c r="K12" s="33"/>
      <c r="L12" s="33"/>
      <c r="M12" s="33"/>
      <c r="N12" s="33">
        <f>$C$32*'E Balans VL '!Y8/100/3.6*1000000</f>
        <v>87.741322550813294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2454.4647279755691</v>
      </c>
      <c r="C16" s="21">
        <f t="shared" ca="1" si="1"/>
        <v>0</v>
      </c>
      <c r="D16" s="21">
        <f t="shared" ca="1" si="1"/>
        <v>2061.6668127373796</v>
      </c>
      <c r="E16" s="21">
        <f t="shared" si="1"/>
        <v>59.316210633108504</v>
      </c>
      <c r="F16" s="21">
        <f t="shared" ca="1" si="1"/>
        <v>440.99068253158396</v>
      </c>
      <c r="G16" s="21">
        <f t="shared" si="1"/>
        <v>0</v>
      </c>
      <c r="H16" s="21">
        <f t="shared" si="1"/>
        <v>0</v>
      </c>
      <c r="I16" s="21">
        <f t="shared" si="1"/>
        <v>0</v>
      </c>
      <c r="J16" s="21">
        <f t="shared" si="1"/>
        <v>2.50568045637364E-3</v>
      </c>
      <c r="K16" s="21">
        <f t="shared" si="1"/>
        <v>0</v>
      </c>
      <c r="L16" s="21">
        <f t="shared" ca="1" si="1"/>
        <v>0</v>
      </c>
      <c r="M16" s="21">
        <f t="shared" si="1"/>
        <v>0</v>
      </c>
      <c r="N16" s="21">
        <f t="shared" ca="1" si="1"/>
        <v>102.35079871792392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0.19262426338089861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472.78946022069169</v>
      </c>
      <c r="C20" s="23">
        <f t="shared" ref="C20:P20" ca="1" si="2">C16*C18</f>
        <v>0</v>
      </c>
      <c r="D20" s="23">
        <f t="shared" ca="1" si="2"/>
        <v>416.45669617295073</v>
      </c>
      <c r="E20" s="23">
        <f t="shared" si="2"/>
        <v>13.46477981371563</v>
      </c>
      <c r="F20" s="23">
        <f t="shared" ca="1" si="2"/>
        <v>117.74451223593292</v>
      </c>
      <c r="G20" s="23">
        <f t="shared" si="2"/>
        <v>0</v>
      </c>
      <c r="H20" s="23">
        <f t="shared" si="2"/>
        <v>0</v>
      </c>
      <c r="I20" s="23">
        <f t="shared" si="2"/>
        <v>0</v>
      </c>
      <c r="J20" s="23">
        <f t="shared" si="2"/>
        <v>8.8701088155626856E-4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84.071024706104197</v>
      </c>
      <c r="C26" s="39">
        <f>IF(ISERROR(B26*3.6/1000000/'E Balans VL '!Z12*100),0,B26*3.6/1000000/'E Balans VL '!Z12*100)</f>
        <v>1.7771282830263441E-3</v>
      </c>
      <c r="D26" s="237" t="s">
        <v>754</v>
      </c>
      <c r="F26" s="6"/>
    </row>
    <row r="27" spans="1:18">
      <c r="A27" s="231" t="s">
        <v>53</v>
      </c>
      <c r="B27" s="33">
        <f>IF(ISERROR(TER_horeca_ele_kWh/1000),0,TER_horeca_ele_kWh/1000)</f>
        <v>148.49238593816301</v>
      </c>
      <c r="C27" s="39">
        <f>IF(ISERROR(B27*3.6/1000000/'E Balans VL '!Z9*100),0,B27*3.6/1000000/'E Balans VL '!Z9*100)</f>
        <v>1.1705599437567639E-2</v>
      </c>
      <c r="D27" s="237" t="s">
        <v>754</v>
      </c>
      <c r="F27" s="6"/>
    </row>
    <row r="28" spans="1:18">
      <c r="A28" s="171" t="s">
        <v>52</v>
      </c>
      <c r="B28" s="33">
        <f>IF(ISERROR(TER_handel_ele_kWh/1000),0,TER_handel_ele_kWh/1000)</f>
        <v>1265.9995962451401</v>
      </c>
      <c r="C28" s="39">
        <f>IF(ISERROR(B28*3.6/1000000/'E Balans VL '!Z13*100),0,B28*3.6/1000000/'E Balans VL '!Z13*100)</f>
        <v>3.6744423494593476E-2</v>
      </c>
      <c r="D28" s="237" t="s">
        <v>754</v>
      </c>
      <c r="F28" s="6"/>
    </row>
    <row r="29" spans="1:18">
      <c r="A29" s="231" t="s">
        <v>51</v>
      </c>
      <c r="B29" s="33">
        <f>IF(ISERROR(TER_gezond_ele_kWh/1000),0,TER_gezond_ele_kWh/1000)</f>
        <v>35.421089584495</v>
      </c>
      <c r="C29" s="39">
        <f>IF(ISERROR(B29*3.6/1000000/'E Balans VL '!Z10*100),0,B29*3.6/1000000/'E Balans VL '!Z10*100)</f>
        <v>3.7304223628910759E-3</v>
      </c>
      <c r="D29" s="237" t="s">
        <v>754</v>
      </c>
      <c r="F29" s="6"/>
    </row>
    <row r="30" spans="1:18">
      <c r="A30" s="231" t="s">
        <v>50</v>
      </c>
      <c r="B30" s="33">
        <f>IF(ISERROR(TER_ander_ele_kWh/1000),0,TER_ander_ele_kWh/1000)</f>
        <v>14.348963681397999</v>
      </c>
      <c r="C30" s="39">
        <f>IF(ISERROR(B30*3.6/1000000/'E Balans VL '!Z14*100),0,B30*3.6/1000000/'E Balans VL '!Z14*100)</f>
        <v>1.058382677719325E-3</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906.13166782026906</v>
      </c>
      <c r="C32" s="39">
        <f>IF(ISERROR(B32*3.6/1000000/'E Balans VL '!Z8*100),0,B32*3.6/1000000/'E Balans VL '!Z8*100)</f>
        <v>7.4562608586362768E-3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176.92008905447591</v>
      </c>
      <c r="C5" s="17">
        <f>IF(ISERROR('Eigen informatie GS &amp; warmtenet'!B59),0,'Eigen informatie GS &amp; warmtenet'!B59)</f>
        <v>0</v>
      </c>
      <c r="D5" s="30">
        <f>SUM(D6:D15)</f>
        <v>150.51914680365499</v>
      </c>
      <c r="E5" s="17">
        <f>SUM(E6:E15)</f>
        <v>19.341728745339243</v>
      </c>
      <c r="F5" s="17">
        <f>SUM(F6:F15)</f>
        <v>59.489518155236524</v>
      </c>
      <c r="G5" s="18"/>
      <c r="H5" s="17"/>
      <c r="I5" s="17"/>
      <c r="J5" s="17">
        <f>SUM(J6:J15)</f>
        <v>0.48883086640562312</v>
      </c>
      <c r="K5" s="17"/>
      <c r="L5" s="17"/>
      <c r="M5" s="17"/>
      <c r="N5" s="17">
        <f>SUM(N6:N15)</f>
        <v>43.969672359050591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40.374429024568897</v>
      </c>
      <c r="C9" s="33"/>
      <c r="D9" s="37">
        <f>IF( ISERROR(IND_andere_gas_kWh/1000),0,IND_andere_gas_kWh/1000)*0.902</f>
        <v>0</v>
      </c>
      <c r="E9" s="33">
        <f>C31*'E Balans VL '!I19/100/3.6*1000000</f>
        <v>11.802231601306737</v>
      </c>
      <c r="F9" s="33">
        <f>C31*'E Balans VL '!L19/100/3.6*1000000+C31*'E Balans VL '!N19/100/3.6*1000000</f>
        <v>32.443909784709064</v>
      </c>
      <c r="G9" s="34"/>
      <c r="H9" s="33"/>
      <c r="I9" s="33"/>
      <c r="J9" s="40">
        <f>C31*'E Balans VL '!D19/100/3.6*1000000+C31*'E Balans VL '!E19/100/3.6*1000000</f>
        <v>0</v>
      </c>
      <c r="K9" s="33"/>
      <c r="L9" s="33"/>
      <c r="M9" s="33"/>
      <c r="N9" s="33">
        <f>C31*'E Balans VL '!Y19/100/3.6*1000000</f>
        <v>13.34033751271674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136.54566002990703</v>
      </c>
      <c r="C15" s="33"/>
      <c r="D15" s="37">
        <f>IF( ISERROR(IND_rest_gas_kWh/1000),0,IND_rest_gas_kWh/1000)*0.902</f>
        <v>150.51914680365499</v>
      </c>
      <c r="E15" s="33">
        <f>C37*'E Balans VL '!I15/100/3.6*1000000</f>
        <v>7.5394971440325058</v>
      </c>
      <c r="F15" s="33">
        <f>C37*'E Balans VL '!L15/100/3.6*1000000+C37*'E Balans VL '!N15/100/3.6*1000000</f>
        <v>27.045608370527464</v>
      </c>
      <c r="G15" s="34"/>
      <c r="H15" s="33"/>
      <c r="I15" s="33"/>
      <c r="J15" s="40">
        <f>C37*'E Balans VL '!D15/100/3.6*1000000+C37*'E Balans VL '!E15/100/3.6*1000000</f>
        <v>0.48883086640562312</v>
      </c>
      <c r="K15" s="33"/>
      <c r="L15" s="33"/>
      <c r="M15" s="33"/>
      <c r="N15" s="33">
        <f>C37*'E Balans VL '!Y15/100/3.6*1000000</f>
        <v>30.629334846333855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176.92008905447591</v>
      </c>
      <c r="C18" s="21">
        <f>C5+C16</f>
        <v>0</v>
      </c>
      <c r="D18" s="21">
        <f>MAX((D5+D16),0)</f>
        <v>150.51914680365499</v>
      </c>
      <c r="E18" s="21">
        <f>MAX((E5+E16),0)</f>
        <v>19.341728745339243</v>
      </c>
      <c r="F18" s="21">
        <f>MAX((F5+F16),0)</f>
        <v>59.489518155236524</v>
      </c>
      <c r="G18" s="21"/>
      <c r="H18" s="21"/>
      <c r="I18" s="21"/>
      <c r="J18" s="21">
        <f>MAX((J5+J16),0)</f>
        <v>0.48883086640562312</v>
      </c>
      <c r="K18" s="21"/>
      <c r="L18" s="21">
        <f>MAX((L5+L16),0)</f>
        <v>0</v>
      </c>
      <c r="M18" s="21"/>
      <c r="N18" s="21">
        <f>MAX((N5+N16),0)</f>
        <v>43.969672359050591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0.19262426338089861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34.079101831401402</v>
      </c>
      <c r="C22" s="23">
        <f ca="1">C18*C20</f>
        <v>0</v>
      </c>
      <c r="D22" s="23">
        <f>D18*D20</f>
        <v>30.404867654338311</v>
      </c>
      <c r="E22" s="23">
        <f>E18*E20</f>
        <v>4.3905724251920084</v>
      </c>
      <c r="F22" s="23">
        <f>F18*F20</f>
        <v>15.883701347448152</v>
      </c>
      <c r="G22" s="23"/>
      <c r="H22" s="23"/>
      <c r="I22" s="23"/>
      <c r="J22" s="23">
        <f>J18*J20</f>
        <v>0.17304612670759056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40.374429024568897</v>
      </c>
      <c r="C31" s="39">
        <f>IF(ISERROR(B31*3.6/1000000/'E Balans VL '!Z19*100),0,B31*3.6/1000000/'E Balans VL '!Z19*100)</f>
        <v>1.8312159843579979E-3</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136.54566002990703</v>
      </c>
      <c r="C37" s="39">
        <f>IF(ISERROR(B37*3.6/1000000/'E Balans VL '!Z15*100),0,B37*3.6/1000000/'E Balans VL '!Z15*100)</f>
        <v>1.0822920497560384E-3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373.94076318299062</v>
      </c>
      <c r="C5" s="17">
        <f>'Eigen informatie GS &amp; warmtenet'!B60</f>
        <v>0</v>
      </c>
      <c r="D5" s="30">
        <f>IF(ISERROR(SUM(LB_lb_gas_kWh,LB_rest_gas_kWh,onbekend_gas_kWh)/1000),0,SUM(LB_lb_gas_kWh,LB_rest_gas_kWh,onbekend_gas_kWh)/1000)*0.902</f>
        <v>124.59141872765657</v>
      </c>
      <c r="E5" s="17">
        <f>B17*'E Balans VL '!I25/3.6*1000000/100</f>
        <v>10.991261176867162</v>
      </c>
      <c r="F5" s="17">
        <f>B17*('E Balans VL '!L25/3.6*1000000+'E Balans VL '!N25/3.6*1000000)/100</f>
        <v>1557.8170127220988</v>
      </c>
      <c r="G5" s="18"/>
      <c r="H5" s="17"/>
      <c r="I5" s="17"/>
      <c r="J5" s="17">
        <f>('E Balans VL '!D25+'E Balans VL '!E25)/3.6*1000000*landbouw!B17/100</f>
        <v>54.175986115402104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373.94076318299062</v>
      </c>
      <c r="C8" s="21">
        <f>C5+C6</f>
        <v>0</v>
      </c>
      <c r="D8" s="21">
        <f>MAX((D5+D6),0)</f>
        <v>124.59141872765657</v>
      </c>
      <c r="E8" s="21">
        <f>MAX((E5+E6),0)</f>
        <v>10.991261176867162</v>
      </c>
      <c r="F8" s="21">
        <f>MAX((F5+F6),0)</f>
        <v>1557.8170127220988</v>
      </c>
      <c r="G8" s="21"/>
      <c r="H8" s="21"/>
      <c r="I8" s="21"/>
      <c r="J8" s="21">
        <f>MAX((J5+J6),0)</f>
        <v>54.175986115402104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0.19262426338089861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72.030064056214613</v>
      </c>
      <c r="C12" s="23">
        <f ca="1">C8*C10</f>
        <v>0</v>
      </c>
      <c r="D12" s="23">
        <f>D8*D10</f>
        <v>25.167466582986631</v>
      </c>
      <c r="E12" s="23">
        <f>E8*E10</f>
        <v>2.4950162871488462</v>
      </c>
      <c r="F12" s="23">
        <f>F8*F10</f>
        <v>415.93714239680037</v>
      </c>
      <c r="G12" s="23"/>
      <c r="H12" s="23"/>
      <c r="I12" s="23"/>
      <c r="J12" s="23">
        <f>J8*J10</f>
        <v>19.178299084852345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5.3063367499031795E-2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105.00700266506674</v>
      </c>
      <c r="C26" s="247">
        <f>B26*'GWP N2O_CH4'!B5</f>
        <v>2205.1470559664012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17.581677304742822</v>
      </c>
      <c r="C27" s="247">
        <f>B27*'GWP N2O_CH4'!B5</f>
        <v>369.21522339959927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1.2453381793313378</v>
      </c>
      <c r="C28" s="247">
        <f>B28*'GWP N2O_CH4'!B4</f>
        <v>386.05483559271471</v>
      </c>
      <c r="D28" s="50"/>
    </row>
    <row r="29" spans="1:4">
      <c r="A29" s="41" t="s">
        <v>277</v>
      </c>
      <c r="B29" s="247">
        <f>B34*'ha_N2O bodem landbouw'!B4</f>
        <v>4.893668705592229</v>
      </c>
      <c r="C29" s="247">
        <f>B29*'GWP N2O_CH4'!B4</f>
        <v>1517.0372987335909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1.1167183342835423E-3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1.7210736721920163E-5</v>
      </c>
      <c r="C5" s="463" t="s">
        <v>211</v>
      </c>
      <c r="D5" s="448">
        <f>SUM(D6:D11)</f>
        <v>5.7574161916545074E-5</v>
      </c>
      <c r="E5" s="448">
        <f>SUM(E6:E11)</f>
        <v>7.7281606205031696E-5</v>
      </c>
      <c r="F5" s="461" t="s">
        <v>211</v>
      </c>
      <c r="G5" s="448">
        <f>SUM(G6:G11)</f>
        <v>2.6644658302370398E-2</v>
      </c>
      <c r="H5" s="448">
        <f>SUM(H6:H11)</f>
        <v>6.5057245669659187E-3</v>
      </c>
      <c r="I5" s="463" t="s">
        <v>211</v>
      </c>
      <c r="J5" s="463" t="s">
        <v>211</v>
      </c>
      <c r="K5" s="463" t="s">
        <v>211</v>
      </c>
      <c r="L5" s="463" t="s">
        <v>211</v>
      </c>
      <c r="M5" s="448">
        <f>SUM(M6:M11)</f>
        <v>1.749810570622074E-3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1.4660229867673141E-5</v>
      </c>
      <c r="C6" s="449"/>
      <c r="D6" s="962">
        <f>vkm_2011_GW_PW*SUMIFS(TableVerdeelsleutelVkm[CNG],TableVerdeelsleutelVkm[Voertuigtype],"Lichte voertuigen")*SUMIFS(TableECFTransport[EnergieConsumptieFactor (PJ per km)],TableECFTransport[Index],CONCATENATE($A6,"_CNG_CNG"))</f>
        <v>4.3972275396439918E-5</v>
      </c>
      <c r="E6" s="962">
        <f>vkm_2011_GW_PW*SUMIFS(TableVerdeelsleutelVkm[LPG],TableVerdeelsleutelVkm[Voertuigtype],"Lichte voertuigen")*SUMIFS(TableECFTransport[EnergieConsumptieFactor (PJ per km)],TableECFTransport[Index],CONCATENATE($A6,"_LPG_LPG"))</f>
        <v>6.0072444497615815E-5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1.5531980383426796E-2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5.0004655918007438E-3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1.0558617186458134E-3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6.8281578939774282E-3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2.0807197825283247E-6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3.9901487442159871E-4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2.5505068542470224E-6</v>
      </c>
      <c r="C8" s="449"/>
      <c r="D8" s="451">
        <f>vkm_2011_NGW_PW*SUMIFS(TableVerdeelsleutelVkm[CNG],TableVerdeelsleutelVkm[Voertuigtype],"Lichte voertuigen")*SUMIFS(TableECFTransport[EnergieConsumptieFactor (PJ per km)],TableECFTransport[Index],CONCATENATE($A8,"_CNG_CNG"))</f>
        <v>1.3601886520105156E-5</v>
      </c>
      <c r="E8" s="451">
        <f>vkm_2011_NGW_PW*SUMIFS(TableVerdeelsleutelVkm[LPG],TableVerdeelsleutelVkm[Voertuigtype],"Lichte voertuigen")*SUMIFS(TableECFTransport[EnergieConsumptieFactor (PJ per km)],TableECFTransport[Index],CONCATENATE($A8,"_LPG_LPG"))</f>
        <v>1.7209161707415881E-5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4.1464635189393329E-3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1.503138650624015E-3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2.8686648688728227E-4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1.3805650602684053E-4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3.9604758631545971E-8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8.0674906673795914E-6</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4.7807602005333782</v>
      </c>
      <c r="C14" s="21"/>
      <c r="D14" s="21">
        <f t="shared" ref="D14:M14" si="0">((D5)*10^9/3600)+D12</f>
        <v>15.992822754595855</v>
      </c>
      <c r="E14" s="21">
        <f t="shared" si="0"/>
        <v>21.467112834731026</v>
      </c>
      <c r="F14" s="21"/>
      <c r="G14" s="21">
        <f t="shared" si="0"/>
        <v>7401.2939728806668</v>
      </c>
      <c r="H14" s="21">
        <f t="shared" si="0"/>
        <v>1807.1457130460885</v>
      </c>
      <c r="I14" s="21"/>
      <c r="J14" s="21"/>
      <c r="K14" s="21"/>
      <c r="L14" s="21"/>
      <c r="M14" s="21">
        <f t="shared" si="0"/>
        <v>486.05849183946498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0.19262426338089861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0.92089041202845912</v>
      </c>
      <c r="C18" s="23"/>
      <c r="D18" s="23">
        <f t="shared" ref="D18:M18" si="1">D14*D16</f>
        <v>3.2305501964283629</v>
      </c>
      <c r="E18" s="23">
        <f t="shared" si="1"/>
        <v>4.8730346134839433</v>
      </c>
      <c r="F18" s="23"/>
      <c r="G18" s="23">
        <f t="shared" si="1"/>
        <v>1976.1454907591381</v>
      </c>
      <c r="H18" s="23">
        <f t="shared" si="1"/>
        <v>449.97928254847602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6.3816893346806212E-4</v>
      </c>
      <c r="H50" s="321">
        <f t="shared" si="2"/>
        <v>0</v>
      </c>
      <c r="I50" s="321">
        <f t="shared" si="2"/>
        <v>0</v>
      </c>
      <c r="J50" s="321">
        <f t="shared" si="2"/>
        <v>0</v>
      </c>
      <c r="K50" s="321">
        <f t="shared" si="2"/>
        <v>0</v>
      </c>
      <c r="L50" s="321">
        <f t="shared" si="2"/>
        <v>0</v>
      </c>
      <c r="M50" s="321">
        <f t="shared" si="2"/>
        <v>3.6245178175482875E-5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6.3816893346806212E-4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3.6245178175482875E-5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177.26914818557279</v>
      </c>
      <c r="H54" s="21">
        <f t="shared" si="3"/>
        <v>0</v>
      </c>
      <c r="I54" s="21">
        <f t="shared" si="3"/>
        <v>0</v>
      </c>
      <c r="J54" s="21">
        <f t="shared" si="3"/>
        <v>0</v>
      </c>
      <c r="K54" s="21">
        <f t="shared" si="3"/>
        <v>0</v>
      </c>
      <c r="L54" s="21">
        <f t="shared" si="3"/>
        <v>0</v>
      </c>
      <c r="M54" s="21">
        <f t="shared" si="3"/>
        <v>10.068105048745243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0.19262426338089861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47.330862565547939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889.89430266107627</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889.89430266107627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2018-09-06T12:48:53Z</dcterms:modified>
</cp:coreProperties>
</file>