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<sst xmlns="http://schemas.openxmlformats.org/spreadsheetml/2006/main" count="1950" uniqueCount="822">
  <si>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</si>
  <si>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</si>
  <si>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</si>
  <si>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</si>
  <si>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</si>
  <si>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</si>
  <si>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</si>
  <si>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</si>
  <si>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</si>
  <si>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</si>
  <si>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</si>
  <si>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</si>
  <si>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</si>
  <si>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</si>
  <si>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</si>
  <si>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</si>
  <si>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</si>
  <si>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</si>
  <si>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</si>
  <si>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</si>
  <si>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</si>
  <si>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</si>
  <si>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</si>
  <si>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</si>
  <si>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</si>
  <si>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</si>
  <si>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</si>
  <si>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</si>
  <si>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</si>
  <si>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</si>
  <si>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</si>
  <si>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</si>
  <si>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</si>
  <si>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</si>
  <si>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</si>
  <si>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</si>
  <si>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</si>
  <si>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</si>
  <si>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</si>
  <si>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</si>
  <si>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</si>
  <si>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</si>
  <si>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</si>
  <si>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</si>
  <si>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</si>
  <si>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</si>
  <si>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</si>
  <si>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</si>
  <si>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</si>
  <si>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</si>
  <si>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</si>
  <si>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</si>
  <si>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</si>
  <si>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</si>
  <si>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</si>
  <si>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</si>
  <si>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</si>
  <si>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</si>
  <si>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</si>
  <si>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</si>
  <si>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</si>
  <si>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</si>
  <si>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</si>
  <si>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</si>
  <si>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</si>
  <si>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</si>
  <si>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</si>
  <si>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</si>
  <si>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</si>
  <si>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</si>
  <si>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</si>
  <si>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</si>
  <si>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</si>
  <si>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</si>
  <si>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</si>
  <si>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</si>
  <si>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</si>
  <si>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</si>
  <si>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</si>
  <si>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</si>
  <si>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</si>
  <si>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</si>
  <si>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</si>
  <si>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</si>
  <si>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</si>
  <si>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</si>
  <si>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</si>
  <si>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</si>
  <si>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</si>
  <si>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</si>
  <si>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</si>
  <si>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</si>
  <si>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</si>
  <si>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</si>
  <si>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</si>
  <si>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</si>
  <si>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</si>
  <si>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</si>
  <si>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</si>
  <si>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</si>
  <si>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</si>
  <si>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</si>
  <si>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</si>
  <si>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</si>
  <si>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</si>
  <si>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</si>
  <si>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</si>
  <si>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</si>
  <si>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</si>
  <si>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</si>
  <si>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</si>
  <si>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</si>
  <si>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</si>
  <si>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</si>
  <si>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</si>
  <si>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</si>
  <si>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</si>
  <si>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</si>
  <si>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</si>
  <si>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</si>
  <si>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</si>
  <si>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</si>
  <si>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</si>
  <si>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</si>
  <si>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</si>
  <si>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</si>
  <si>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</si>
  <si>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</si>
  <si>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</si>
  <si>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</si>
  <si>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</si>
  <si>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</si>
  <si>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</si>
  <si>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</si>
  <si>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</si>
  <si>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</si>
  <si>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</si>
  <si>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</si>
  <si>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</si>
  <si>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</si>
  <si>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</si>
  <si>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</si>
  <si>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</si>
  <si>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</si>
  <si>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</si>
  <si>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</si>
  <si>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</si>
  <si>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</si>
  <si>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</si>
  <si>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</si>
  <si>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</si>
  <si>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</si>
  <si>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</si>
  <si>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</si>
  <si>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</si>
  <si>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</si>
  <si>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</si>
  <si>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</si>
  <si>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</si>
  <si>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</si>
  <si>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</si>
  <si>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</si>
  <si>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</si>
  <si>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</si>
  <si>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</si>
  <si>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</si>
  <si>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</si>
  <si>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</si>
  <si>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</si>
  <si>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</si>
  <si>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</si>
  <si>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</si>
  <si>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</si>
  <si>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</si>
  <si>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</si>
  <si>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</si>
  <si>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</si>
  <si>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</si>
  <si>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</si>
  <si>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</si>
  <si>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</si>
  <si>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</si>
  <si>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</si>
  <si>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</si>
  <si>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</si>
  <si>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</si>
  <si>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</si>
  <si>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</si>
  <si>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</si>
  <si>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</si>
  <si>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</si>
  <si>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</si>
  <si>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</si>
  <si>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</si>
  <si>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</si>
  <si>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</si>
  <si>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</si>
  <si>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</si>
  <si>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</si>
  <si>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</si>
  <si>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</si>
  <si>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</si>
  <si>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</si>
  <si>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</si>
  <si>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</si>
  <si>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</si>
  <si>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</si>
  <si>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</si>
  <si>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</si>
  <si>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</si>
  <si>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</si>
  <si>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</si>
  <si>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</si>
  <si>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</si>
  <si>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</si>
  <si>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</si>
  <si>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</si>
  <si>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</si>
  <si>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</si>
  <si>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</si>
  <si>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</si>
  <si>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</si>
  <si>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</si>
  <si>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</si>
  <si>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</si>
  <si>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</si>
  <si>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</si>
  <si>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</si>
  <si>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</si>
  <si>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</si>
  <si>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</si>
  <si>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</si>
  <si>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</si>
  <si>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</si>
  <si>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</si>
  <si>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</si>
  <si>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</si>
  <si>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</si>
  <si>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</si>
  <si>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</si>
  <si>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</si>
  <si>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</si>
  <si>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</si>
  <si>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</si>
  <si>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</si>
  <si>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</si>
  <si>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</si>
  <si>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</si>
  <si>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</si>
  <si>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</si>
  <si>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</si>
  <si>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</si>
  <si>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</si>
  <si>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</si>
  <si>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</si>
  <si>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</si>
  <si>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</si>
  <si>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</si>
  <si>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</si>
  <si>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</si>
  <si>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</si>
  <si>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</si>
  <si>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</si>
  <si>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</si>
  <si>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</si>
  <si>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</si>
  <si>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</si>
  <si>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</si>
  <si>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</si>
  <si>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</si>
  <si>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</si>
  <si>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</si>
  <si>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</si>
  <si>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</si>
  <si>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</si>
  <si>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</si>
  <si>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</si>
  <si>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</si>
  <si>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</si>
  <si>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</si>
  <si>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</si>
  <si>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</si>
  <si>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</si>
  <si>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</si>
  <si>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</si>
  <si>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</si>
  <si>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</si>
  <si>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</si>
  <si>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</si>
  <si>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</si>
  <si>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</si>
  <si>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</si>
  <si>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</si>
  <si>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</si>
  <si>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</si>
  <si>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</si>
  <si>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</si>
  <si>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</si>
  <si>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</si>
  <si>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</si>
  <si>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</si>
  <si>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</si>
  <si>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</si>
  <si>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</si>
  <si>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</si>
  <si>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</si>
  <si>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</si>
  <si>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</si>
  <si>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</si>
  <si>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</si>
  <si>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</si>
  <si>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</si>
  <si>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</si>
  <si>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</si>
  <si>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</si>
  <si>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</si>
  <si>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</si>
  <si>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</si>
  <si>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</si>
  <si>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</si>
  <si>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</si>
  <si>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</si>
  <si>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</si>
  <si>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</si>
  <si>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</si>
  <si>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</si>
  <si>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</si>
  <si>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</si>
  <si>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</si>
  <si>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</si>
  <si>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</si>
  <si>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</si>
  <si>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</si>
  <si>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</si>
  <si>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</si>
  <si>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</si>
  <si>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</si>
  <si>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</si>
  <si>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</si>
  <si>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</si>
  <si>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</si>
  <si>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</si>
  <si>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</si>
  <si>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</si>
  <si>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</si>
  <si>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</si>
  <si>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</si>
  <si>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</si>
  <si>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</si>
  <si>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</si>
  <si>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</si>
  <si>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</si>
  <si>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</si>
  <si>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</si>
  <si>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</si>
  <si>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</si>
  <si>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</si>
  <si>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</si>
  <si>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</si>
  <si>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</si>
  <si>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</si>
  <si>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</si>
  <si>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</si>
  <si>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</si>
  <si>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</si>
  <si>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</si>
  <si>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</si>
  <si>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</si>
  <si>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</si>
  <si>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</si>
  <si>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</si>
  <si>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</si>
  <si>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</si>
  <si>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</si>
  <si>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</si>
  <si>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</si>
  <si>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</si>
  <si>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</si>
  <si>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</si>
  <si>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</si>
  <si>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</si>
  <si>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</si>
  <si>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</si>
  <si>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</si>
  <si>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</si>
  <si>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</si>
  <si>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</si>
  <si>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</si>
  <si>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</si>
  <si>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</si>
  <si>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</si>
  <si>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</si>
  <si>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</si>
  <si>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</si>
  <si>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</si>
  <si>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</si>
  <si>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</si>
  <si>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</si>
  <si>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</si>
  <si>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</si>
  <si>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</si>
  <si>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</si>
  <si>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</si>
  <si>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</si>
  <si>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</si>
  <si>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</si>
  <si>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</si>
  <si>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</si>
  <si>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</si>
  <si>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</si>
  <si>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</si>
  <si>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</si>
  <si>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</si>
  <si>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</si>
  <si>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</si>
  <si>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</si>
  <si>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</si>
  <si>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</si>
  <si>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</si>
  <si>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</si>
  <si>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</si>
  <si>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</si>
  <si>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</si>
  <si>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</si>
  <si>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</si>
  <si>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</si>
  <si>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</si>
  <si>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</si>
  <si>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</si>
  <si>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</si>
  <si>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</si>
  <si>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</si>
  <si>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</si>
  <si>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</si>
  <si>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</si>
  <si>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</si>
  <si>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</si>
  <si>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</si>
  <si>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</si>
  <si>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</si>
  <si>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</si>
  <si>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</si>
  <si>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</si>
  <si>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</si>
  <si>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</si>
  <si>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</si>
  <si>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</si>
  <si>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</si>
  <si>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</si>
  <si>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</si>
  <si>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</si>
  <si>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</si>
  <si>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</si>
  <si>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</si>
  <si>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</si>
  <si>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</si>
  <si>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</si>
  <si>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</si>
  <si>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</si>
  <si>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</si>
  <si>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</si>
  <si>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</si>
  <si>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</si>
  <si>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</si>
  <si>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</si>
  <si>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</si>
  <si>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</si>
  <si>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</si>
  <si>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</si>
  <si>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</si>
  <si>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</si>
  <si>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</si>
  <si>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</si>
  <si>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</si>
  <si>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</si>
  <si>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</si>
  <si>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</si>
  <si>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</si>
  <si>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</si>
  <si>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</si>
  <si>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</si>
  <si>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</si>
  <si>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</si>
  <si>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</si>
  <si>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</si>
  <si>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</si>
  <si>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</si>
  <si>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</si>
  <si>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</si>
  <si>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</si>
  <si>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</si>
  <si>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</si>
  <si>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</si>
  <si>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</si>
  <si>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</si>
  <si>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</si>
  <si>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</si>
  <si>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</si>
  <si>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</si>
  <si>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</si>
  <si>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</si>
  <si>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</si>
  <si>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</si>
  <si>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</si>
  <si>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</si>
  <si>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</si>
  <si>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</si>
  <si>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</si>
  <si>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</si>
  <si>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</si>
  <si>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</si>
  <si>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</si>
  <si>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</si>
  <si>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</si>
  <si>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</si>
  <si>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</si>
  <si>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</si>
  <si>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</si>
  <si>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</si>
  <si>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</si>
  <si>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</si>
  <si>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</si>
  <si>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</si>
  <si>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</si>
  <si>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</si>
  <si>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</si>
  <si>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</si>
  <si>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</si>
  <si>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</si>
  <si>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</si>
  <si>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</si>
  <si>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</si>
  <si>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</si>
  <si>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</si>
  <si>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</si>
  <si>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</si>
  <si>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</si>
  <si>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</si>
  <si>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</si>
  <si>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</si>
  <si>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</si>
  <si>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</si>
  <si>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</si>
  <si>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</si>
  <si>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</si>
  <si>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</si>
  <si>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</si>
  <si>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</si>
  <si>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</si>
  <si>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</si>
  <si>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</si>
  <si>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</si>
  <si>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</si>
  <si>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</si>
  <si>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</si>
  <si>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</si>
  <si>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</si>
  <si>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</si>
  <si>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</si>
  <si>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</si>
  <si>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</si>
  <si>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</si>
  <si>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</si>
  <si>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</si>
  <si>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</si>
  <si>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</si>
  <si>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</si>
  <si>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</si>
  <si>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</si>
  <si>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</si>
  <si>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</si>
  <si>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</si>
  <si>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</si>
  <si>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</si>
  <si>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</si>
  <si>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</si>
  <si>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</si>
  <si>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</si>
  <si>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</si>
  <si>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</si>
  <si>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</si>
  <si>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</si>
  <si>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</si>
  <si>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</si>
  <si>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</si>
  <si>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</si>
  <si>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</si>
  <si>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</si>
  <si>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</si>
  <si>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</si>
  <si>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</si>
  <si>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</si>
  <si>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</si>
  <si>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</si>
  <si>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</si>
  <si>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</si>
  <si>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</si>
  <si>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</si>
  <si>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</si>
  <si>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</si>
  <si>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</si>
  <si>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</si>
  <si>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</si>
  <si>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</si>
  <si>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</si>
  <si>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</si>
  <si>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</si>
  <si>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</si>
  <si>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</si>
  <si>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</si>
  <si>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</si>
  <si>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</si>
  <si>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</si>
  <si>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</si>
  <si>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</si>
  <si>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</si>
  <si>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</si>
  <si>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</si>
  <si>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</si>
  <si>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</si>
  <si>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</si>
  <si>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</si>
  <si>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</si>
  <si>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</si>
  <si>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</si>
  <si>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</si>
  <si>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</si>
  <si>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</si>
  <si>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</si>
  <si>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</si>
  <si>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</si>
  <si>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</si>
  <si>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</si>
  <si>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</si>
  <si>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</si>
  <si>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</si>
  <si>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</si>
  <si>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</si>
  <si>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</si>
  <si>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</si>
  <si>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</si>
  <si>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</si>
  <si>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</si>
  <si>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</si>
  <si>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</si>
  <si>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</si>
  <si>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</si>
  <si>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</si>
  <si>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</si>
  <si>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</si>
  <si>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</si>
  <si>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</si>
  <si>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</si>
  <si>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</si>
  <si>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</si>
  <si>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</si>
  <si>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</si>
  <si>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</si>
  <si>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</si>
  <si>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</si>
  <si>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</si>
  <si>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</si>
  <si>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</si>
  <si>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</si>
  <si>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</si>
  <si>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</si>
  <si>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</si>
  <si>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</si>
  <si>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</si>
  <si>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</si>
  <si>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</si>
  <si>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</si>
  <si>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</si>
  <si>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</si>
  <si>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</si>
  <si>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</si>
  <si>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</si>
  <si>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</si>
  <si>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</si>
  <si>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</si>
  <si>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</si>
  <si>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</si>
  <si>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</si>
  <si>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</si>
  <si>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</si>
  <si>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</si>
  <si>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</si>
  <si>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</si>
  <si>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</si>
  <si>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</si>
  <si>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</si>
  <si>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</si>
  <si>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</si>
  <si>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</si>
  <si>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</si>
  <si>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</si>
  <si>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</si>
  <si>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</si>
  <si>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</si>
  <si>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</si>
  <si>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</si>
  <si>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</si>
  <si>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</si>
  <si>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</si>
  <si>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</si>
  <si>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</si>
  <si>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</si>
  <si>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</si>
  <si>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</si>
  <si>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</si>
  <si>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</si>
  <si>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</si>
  <si>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</si>
  <si>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</si>
  <si>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</si>
  <si>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</si>
  <si>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</si>
  <si>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</si>
  <si>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</si>
  <si>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</si>
  <si>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</si>
  <si>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</si>
  <si>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</si>
  <si>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</si>
  <si>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</si>
  <si>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</si>
  <si>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</si>
  <si>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</si>
  <si>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</si>
  <si>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</si>
  <si>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</si>
  <si>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</si>
  <si>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</si>
  <si>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</si>
  <si>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</si>
  <si>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</si>
  <si>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</si>
  <si>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</si>
  <si>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</si>
  <si>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</si>
  <si>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</si>
  <si>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</si>
  <si>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</si>
  <si>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</si>
  <si>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</si>
  <si>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</si>
  <si>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</si>
  <si>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</si>
  <si>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</si>
  <si>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</si>
  <si>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</si>
  <si>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</si>
  <si>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</si>
  <si>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</si>
  <si>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</si>
  <si>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</si>
  <si>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</si>
  <si>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</si>
  <si>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</si>
  <si>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</si>
  <si>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</si>
  <si>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</si>
  <si>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</si>
  <si>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</si>
  <si>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</si>
  <si>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</si>
  <si>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</si>
  <si>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</si>
  <si>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</si>
  <si>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</si>
  <si>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</si>
  <si>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</si>
  <si>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</si>
  <si>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</si>
  <si>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</si>
  <si>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</si>
  <si>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</si>
  <si>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</si>
  <si>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</si>
  <si>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</si>
  <si>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</si>
  <si>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</si>
  <si>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</si>
  <si>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</si>
  <si>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</si>
  <si>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</si>
  <si>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</si>
  <si>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</si>
  <si>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</si>
  <si>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</si>
  <si>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</si>
  <si>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</si>
  <si>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</si>
  <si>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</si>
  <si>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</si>
  <si>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</si>
  <si>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</si>
  <si>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</si>
  <si>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</si>
  <si>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</si>
  <si>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</si>
  <si>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44080</t>
  </si>
  <si>
    <t>ZOMERGEM</t>
  </si>
  <si>
    <t>Eandis (januari 2018); Infrax (juni 2018)</t>
  </si>
  <si>
    <t>MOW (september 2017)</t>
  </si>
  <si>
    <t>referentietaak LNE (2017); Jaarverslag De Lijn (2016)</t>
  </si>
  <si>
    <t>VEA (april 2018)</t>
  </si>
  <si>
    <t>VEA (januari 2017)</t>
  </si>
  <si>
    <t>VEA (juni 2018)</t>
  </si>
  <si>
    <t>Agro-energiek bvba</t>
  </si>
  <si>
    <t>Rijvers 66 b, 9930 Zomergem</t>
  </si>
  <si>
    <t>WKK-0085 Vandaele</t>
  </si>
  <si>
    <t>interne verbrandingsmotor</t>
  </si>
  <si>
    <t>WKK interne verbrandinsgmotor (gas)</t>
  </si>
  <si>
    <t>IMEWO</t>
  </si>
  <si>
    <t>Calagro Energie bvba</t>
  </si>
  <si>
    <t>Meirlare 21 , 9930 Zomergem</t>
  </si>
  <si>
    <t xml:space="preserve">WKK-0238 Calagro Energie </t>
  </si>
  <si>
    <t>Pascal Mattheeuws</t>
  </si>
  <si>
    <t>Diepenbeek 2 , 9931 Oostwinkel</t>
  </si>
  <si>
    <t>WKK-0458 Pascal Mattheeuws</t>
  </si>
  <si>
    <t>WKK-0508 Agro-Energiek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</si>
</sst>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76283.746328679801</c:v>
                </c:pt>
                <c:pt idx="1">
                  <c:v>16614.821833019145</c:v>
                </c:pt>
                <c:pt idx="2">
                  <c:v>665.58900000000006</c:v>
                </c:pt>
                <c:pt idx="3">
                  <c:v>41749.725840686478</c:v>
                </c:pt>
                <c:pt idx="4">
                  <c:v>4566.4750512459987</c:v>
                </c:pt>
                <c:pt idx="5">
                  <c:v>37304.907000590843</c:v>
                </c:pt>
                <c:pt idx="6">
                  <c:v>621.31748827466356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27744"/>
        <c:axId val="179754112"/>
      </c:barChart>
      <c:catAx>
        <c:axId val="17972774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2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76283.746328679801</c:v>
                </c:pt>
                <c:pt idx="1">
                  <c:v>16614.821833019145</c:v>
                </c:pt>
                <c:pt idx="2">
                  <c:v>665.58900000000006</c:v>
                </c:pt>
                <c:pt idx="3">
                  <c:v>41749.725840686478</c:v>
                </c:pt>
                <c:pt idx="4">
                  <c:v>4566.4750512459987</c:v>
                </c:pt>
                <c:pt idx="5">
                  <c:v>37304.907000590843</c:v>
                </c:pt>
                <c:pt idx="6">
                  <c:v>621.31748827466356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11983.951018600661</c:v>
                </c:pt>
                <c:pt idx="1">
                  <c:v>2148.6411534500016</c:v>
                </c:pt>
                <c:pt idx="2">
                  <c:v>21.895645220539652</c:v>
                </c:pt>
                <c:pt idx="3">
                  <c:v>2868.1241116790598</c:v>
                </c:pt>
                <c:pt idx="4">
                  <c:v>599.88728149963197</c:v>
                </c:pt>
                <c:pt idx="5">
                  <c:v>9316.0889046386947</c:v>
                </c:pt>
                <c:pt idx="6">
                  <c:v>156.97621342999616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6928"/>
        <c:axId val="182616064"/>
      </c:barChart>
      <c:catAx>
        <c:axId val="182556928"/>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25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11983.951018600661</c:v>
                </c:pt>
                <c:pt idx="1">
                  <c:v>2148.6411534500016</c:v>
                </c:pt>
                <c:pt idx="2">
                  <c:v>21.895645220539652</c:v>
                </c:pt>
                <c:pt idx="3">
                  <c:v>2868.1241116790598</c:v>
                </c:pt>
                <c:pt idx="4">
                  <c:v>599.88728149963197</c:v>
                </c:pt>
                <c:pt idx="5">
                  <c:v>9316.0889046386947</c:v>
                </c:pt>
                <c:pt idx="6">
                  <c:v>156.97621342999616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44080</v>
      </c>
      <c r="B6" s="415"/>
      <c r="C6" s="416"/>
    </row>
    <row r="7" spans="1:7" s="413" customFormat="1" ht="15.75" customHeight="1">
      <c r="A7" s="417" t="str">
        <f>txtMunicipality</f>
        <v>ZOMERGEM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3489</v>
      </c>
      <c r="C9" s="342">
        <v>3320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2798.25</v>
      </c>
    </row>
    <row r="15" spans="1:6">
      <c r="A15" s="348" t="s">
        <v>184</v>
      </c>
      <c r="B15" s="334">
        <v>61</v>
      </c>
    </row>
    <row r="16" spans="1:6">
      <c r="A16" s="348" t="s">
        <v>6</v>
      </c>
      <c r="B16" s="334">
        <v>2764</v>
      </c>
    </row>
    <row r="17" spans="1:6">
      <c r="A17" s="348" t="s">
        <v>7</v>
      </c>
      <c r="B17" s="334">
        <v>631</v>
      </c>
    </row>
    <row r="18" spans="1:6">
      <c r="A18" s="348" t="s">
        <v>8</v>
      </c>
      <c r="B18" s="334">
        <v>1893</v>
      </c>
    </row>
    <row r="19" spans="1:6">
      <c r="A19" s="348" t="s">
        <v>9</v>
      </c>
      <c r="B19" s="334">
        <v>1874</v>
      </c>
    </row>
    <row r="20" spans="1:6">
      <c r="A20" s="348" t="s">
        <v>10</v>
      </c>
      <c r="B20" s="334">
        <v>1213</v>
      </c>
    </row>
    <row r="21" spans="1:6">
      <c r="A21" s="348" t="s">
        <v>11</v>
      </c>
      <c r="B21" s="334">
        <v>2876</v>
      </c>
    </row>
    <row r="22" spans="1:6">
      <c r="A22" s="348" t="s">
        <v>12</v>
      </c>
      <c r="B22" s="334">
        <v>11212</v>
      </c>
    </row>
    <row r="23" spans="1:6">
      <c r="A23" s="348" t="s">
        <v>13</v>
      </c>
      <c r="B23" s="334">
        <v>100</v>
      </c>
    </row>
    <row r="24" spans="1:6">
      <c r="A24" s="348" t="s">
        <v>14</v>
      </c>
      <c r="B24" s="334">
        <v>9</v>
      </c>
    </row>
    <row r="25" spans="1:6">
      <c r="A25" s="348" t="s">
        <v>15</v>
      </c>
      <c r="B25" s="334">
        <v>676</v>
      </c>
    </row>
    <row r="26" spans="1:6">
      <c r="A26" s="348" t="s">
        <v>16</v>
      </c>
      <c r="B26" s="334">
        <v>64</v>
      </c>
    </row>
    <row r="27" spans="1:6">
      <c r="A27" s="348" t="s">
        <v>17</v>
      </c>
      <c r="B27" s="334">
        <v>526</v>
      </c>
    </row>
    <row r="28" spans="1:6" s="356" customFormat="1">
      <c r="A28" s="355" t="s">
        <v>18</v>
      </c>
      <c r="B28" s="355">
        <v>115727</v>
      </c>
    </row>
    <row r="29" spans="1:6">
      <c r="A29" s="355" t="s">
        <v>744</v>
      </c>
      <c r="B29" s="355">
        <v>88</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198594.50508290701</v>
      </c>
    </row>
    <row r="39" spans="1:6">
      <c r="A39" s="348" t="s">
        <v>30</v>
      </c>
      <c r="B39" s="348" t="s">
        <v>31</v>
      </c>
      <c r="C39" s="334">
        <v>1604</v>
      </c>
      <c r="D39" s="334">
        <v>25105505.011021402</v>
      </c>
      <c r="E39" s="334">
        <v>3184</v>
      </c>
      <c r="F39" s="334">
        <v>13432140.6981373</v>
      </c>
    </row>
    <row r="40" spans="1:6">
      <c r="A40" s="348" t="s">
        <v>30</v>
      </c>
      <c r="B40" s="348" t="s">
        <v>29</v>
      </c>
      <c r="C40" s="334">
        <v>0</v>
      </c>
      <c r="D40" s="334">
        <v>0</v>
      </c>
      <c r="E40" s="334">
        <v>0</v>
      </c>
      <c r="F40" s="334">
        <v>0</v>
      </c>
    </row>
    <row r="41" spans="1:6">
      <c r="A41" s="348" t="s">
        <v>32</v>
      </c>
      <c r="B41" s="348" t="s">
        <v>33</v>
      </c>
      <c r="C41" s="334">
        <v>20</v>
      </c>
      <c r="D41" s="334">
        <v>376677.66047297098</v>
      </c>
      <c r="E41" s="334">
        <v>90</v>
      </c>
      <c r="F41" s="334">
        <v>817247.60610241501</v>
      </c>
    </row>
    <row r="42" spans="1:6">
      <c r="A42" s="348" t="s">
        <v>32</v>
      </c>
      <c r="B42" s="348" t="s">
        <v>34</v>
      </c>
      <c r="C42" s="334">
        <v>0</v>
      </c>
      <c r="D42" s="334">
        <v>0</v>
      </c>
      <c r="E42" s="334">
        <v>3</v>
      </c>
      <c r="F42" s="334">
        <v>33615.432949262999</v>
      </c>
    </row>
    <row r="43" spans="1:6">
      <c r="A43" s="348" t="s">
        <v>32</v>
      </c>
      <c r="B43" s="348" t="s">
        <v>35</v>
      </c>
      <c r="C43" s="334">
        <v>0</v>
      </c>
      <c r="D43" s="334">
        <v>0</v>
      </c>
      <c r="E43" s="334">
        <v>0</v>
      </c>
      <c r="F43" s="334">
        <v>0</v>
      </c>
    </row>
    <row r="44" spans="1:6">
      <c r="A44" s="348" t="s">
        <v>32</v>
      </c>
      <c r="B44" s="348" t="s">
        <v>36</v>
      </c>
      <c r="C44" s="334">
        <v>0</v>
      </c>
      <c r="D44" s="334">
        <v>0</v>
      </c>
      <c r="E44" s="334">
        <v>4</v>
      </c>
      <c r="F44" s="334">
        <v>13605.204598640799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1072481.80361833</v>
      </c>
      <c r="E48" s="334">
        <v>58</v>
      </c>
      <c r="F48" s="334">
        <v>677170.81208452897</v>
      </c>
    </row>
    <row r="49" spans="1:6">
      <c r="A49" s="348" t="s">
        <v>32</v>
      </c>
      <c r="B49" s="348" t="s">
        <v>40</v>
      </c>
      <c r="C49" s="334">
        <v>0</v>
      </c>
      <c r="D49" s="334">
        <v>0</v>
      </c>
      <c r="E49" s="334">
        <v>0</v>
      </c>
      <c r="F49" s="334">
        <v>0</v>
      </c>
    </row>
    <row r="50" spans="1:6">
      <c r="A50" s="348" t="s">
        <v>32</v>
      </c>
      <c r="B50" s="348" t="s">
        <v>41</v>
      </c>
      <c r="C50" s="334">
        <v>0</v>
      </c>
      <c r="D50" s="334">
        <v>0</v>
      </c>
      <c r="E50" s="334">
        <v>4</v>
      </c>
      <c r="F50" s="334">
        <v>196892.042368328</v>
      </c>
    </row>
    <row r="51" spans="1:6">
      <c r="A51" s="348" t="s">
        <v>42</v>
      </c>
      <c r="B51" s="348" t="s">
        <v>43</v>
      </c>
      <c r="C51" s="334">
        <v>0</v>
      </c>
      <c r="D51" s="334">
        <v>0</v>
      </c>
      <c r="E51" s="334">
        <v>108</v>
      </c>
      <c r="F51" s="334">
        <v>1927724.06157946</v>
      </c>
    </row>
    <row r="52" spans="1:6">
      <c r="A52" s="348" t="s">
        <v>42</v>
      </c>
      <c r="B52" s="348" t="s">
        <v>29</v>
      </c>
      <c r="C52" s="334">
        <v>6</v>
      </c>
      <c r="D52" s="334">
        <v>127436.375775074</v>
      </c>
      <c r="E52" s="334">
        <v>16</v>
      </c>
      <c r="F52" s="334">
        <v>331267.56850336399</v>
      </c>
    </row>
    <row r="53" spans="1:6">
      <c r="A53" s="348" t="s">
        <v>44</v>
      </c>
      <c r="B53" s="348" t="s">
        <v>45</v>
      </c>
      <c r="C53" s="334">
        <v>44</v>
      </c>
      <c r="D53" s="334">
        <v>696848.352497085</v>
      </c>
      <c r="E53" s="334">
        <v>132</v>
      </c>
      <c r="F53" s="334">
        <v>469669.94436631602</v>
      </c>
    </row>
    <row r="54" spans="1:6">
      <c r="A54" s="348" t="s">
        <v>46</v>
      </c>
      <c r="B54" s="348" t="s">
        <v>47</v>
      </c>
      <c r="C54" s="334">
        <v>0</v>
      </c>
      <c r="D54" s="334">
        <v>0</v>
      </c>
      <c r="E54" s="334">
        <v>3</v>
      </c>
      <c r="F54" s="334">
        <v>665589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1673155.71961994</v>
      </c>
      <c r="E57" s="334">
        <v>31</v>
      </c>
      <c r="F57" s="334">
        <v>777441.429124741</v>
      </c>
    </row>
    <row r="58" spans="1:6">
      <c r="A58" s="348" t="s">
        <v>49</v>
      </c>
      <c r="B58" s="348" t="s">
        <v>51</v>
      </c>
      <c r="C58" s="334">
        <v>7</v>
      </c>
      <c r="D58" s="334">
        <v>1807981.00283999</v>
      </c>
      <c r="E58" s="334">
        <v>16</v>
      </c>
      <c r="F58" s="334">
        <v>105057.568723269</v>
      </c>
    </row>
    <row r="59" spans="1:6">
      <c r="A59" s="348" t="s">
        <v>49</v>
      </c>
      <c r="B59" s="348" t="s">
        <v>52</v>
      </c>
      <c r="C59" s="334">
        <v>15</v>
      </c>
      <c r="D59" s="334">
        <v>764592.80615127797</v>
      </c>
      <c r="E59" s="334">
        <v>46</v>
      </c>
      <c r="F59" s="334">
        <v>1564784.1854401201</v>
      </c>
    </row>
    <row r="60" spans="1:6">
      <c r="A60" s="348" t="s">
        <v>49</v>
      </c>
      <c r="B60" s="348" t="s">
        <v>53</v>
      </c>
      <c r="C60" s="334">
        <v>12</v>
      </c>
      <c r="D60" s="334">
        <v>671938.694601967</v>
      </c>
      <c r="E60" s="334">
        <v>20</v>
      </c>
      <c r="F60" s="334">
        <v>522801.51877079799</v>
      </c>
    </row>
    <row r="61" spans="1:6">
      <c r="A61" s="348" t="s">
        <v>49</v>
      </c>
      <c r="B61" s="348" t="s">
        <v>54</v>
      </c>
      <c r="C61" s="334">
        <v>58</v>
      </c>
      <c r="D61" s="334">
        <v>1608062.91200917</v>
      </c>
      <c r="E61" s="334">
        <v>155</v>
      </c>
      <c r="F61" s="334">
        <v>1131058.15656593</v>
      </c>
    </row>
    <row r="62" spans="1:6">
      <c r="A62" s="348" t="s">
        <v>49</v>
      </c>
      <c r="B62" s="348" t="s">
        <v>55</v>
      </c>
      <c r="C62" s="334">
        <v>0</v>
      </c>
      <c r="D62" s="334">
        <v>0</v>
      </c>
      <c r="E62" s="334">
        <v>3</v>
      </c>
      <c r="F62" s="334">
        <v>12523.7096881095</v>
      </c>
    </row>
    <row r="63" spans="1:6">
      <c r="A63" s="348" t="s">
        <v>49</v>
      </c>
      <c r="B63" s="348" t="s">
        <v>29</v>
      </c>
      <c r="C63" s="334">
        <v>82</v>
      </c>
      <c r="D63" s="334">
        <v>2255533.36155156</v>
      </c>
      <c r="E63" s="334">
        <v>158</v>
      </c>
      <c r="F63" s="334">
        <v>2392253.1095131598</v>
      </c>
    </row>
    <row r="64" spans="1:6">
      <c r="A64" s="348" t="s">
        <v>56</v>
      </c>
      <c r="B64" s="348" t="s">
        <v>57</v>
      </c>
      <c r="C64" s="334">
        <v>0</v>
      </c>
      <c r="D64" s="334">
        <v>0</v>
      </c>
      <c r="E64" s="334">
        <v>0</v>
      </c>
      <c r="F64" s="334">
        <v>0</v>
      </c>
    </row>
    <row r="65" spans="1:6">
      <c r="A65" s="348" t="s">
        <v>56</v>
      </c>
      <c r="B65" s="348" t="s">
        <v>29</v>
      </c>
      <c r="C65" s="334">
        <v>3</v>
      </c>
      <c r="D65" s="334">
        <v>99711.124690052398</v>
      </c>
      <c r="E65" s="334">
        <v>3</v>
      </c>
      <c r="F65" s="334">
        <v>103937.20004361001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57942.639867555103</v>
      </c>
      <c r="E68" s="334">
        <v>9</v>
      </c>
      <c r="F68" s="334">
        <v>42581.932775207999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13055551</v>
      </c>
      <c r="E73" s="476">
        <v>13048210.962295987</v>
      </c>
    </row>
    <row r="74" spans="1:6">
      <c r="A74" s="348" t="s">
        <v>64</v>
      </c>
      <c r="B74" s="348" t="s">
        <v>657</v>
      </c>
      <c r="C74" s="1213" t="s">
        <v>659</v>
      </c>
      <c r="D74" s="476">
        <v>951307.1566262726</v>
      </c>
      <c r="E74" s="476">
        <v>920432.09836481698</v>
      </c>
    </row>
    <row r="75" spans="1:6">
      <c r="A75" s="348" t="s">
        <v>65</v>
      </c>
      <c r="B75" s="348" t="s">
        <v>656</v>
      </c>
      <c r="C75" s="1213" t="s">
        <v>660</v>
      </c>
      <c r="D75" s="476">
        <v>26620163</v>
      </c>
      <c r="E75" s="476">
        <v>27463800.887292933</v>
      </c>
    </row>
    <row r="76" spans="1:6">
      <c r="A76" s="348" t="s">
        <v>65</v>
      </c>
      <c r="B76" s="348" t="s">
        <v>657</v>
      </c>
      <c r="C76" s="1213" t="s">
        <v>661</v>
      </c>
      <c r="D76" s="476">
        <v>724084.1566262726</v>
      </c>
      <c r="E76" s="476">
        <v>733995.24718981539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168511.68674745475</v>
      </c>
      <c r="C83" s="476">
        <v>167864.64160896273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1720.4506835271411</v>
      </c>
    </row>
    <row r="92" spans="1:6">
      <c r="A92" s="341" t="s">
        <v>69</v>
      </c>
      <c r="B92" s="342">
        <v>436.48900253380714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570</v>
      </c>
    </row>
    <row r="98" spans="1:6">
      <c r="A98" s="348" t="s">
        <v>72</v>
      </c>
      <c r="B98" s="334">
        <v>0</v>
      </c>
    </row>
    <row r="99" spans="1:6">
      <c r="A99" s="348" t="s">
        <v>73</v>
      </c>
      <c r="B99" s="334">
        <v>92</v>
      </c>
    </row>
    <row r="100" spans="1:6">
      <c r="A100" s="348" t="s">
        <v>74</v>
      </c>
      <c r="B100" s="334">
        <v>401</v>
      </c>
    </row>
    <row r="101" spans="1:6">
      <c r="A101" s="348" t="s">
        <v>75</v>
      </c>
      <c r="B101" s="334">
        <v>96</v>
      </c>
    </row>
    <row r="102" spans="1:6">
      <c r="A102" s="348" t="s">
        <v>76</v>
      </c>
      <c r="B102" s="334">
        <v>61</v>
      </c>
    </row>
    <row r="103" spans="1:6">
      <c r="A103" s="348" t="s">
        <v>77</v>
      </c>
      <c r="B103" s="334">
        <v>146</v>
      </c>
    </row>
    <row r="104" spans="1:6">
      <c r="A104" s="348" t="s">
        <v>78</v>
      </c>
      <c r="B104" s="334">
        <v>1746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33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3</v>
      </c>
    </row>
    <row r="131" spans="1:6">
      <c r="A131" s="348" t="s">
        <v>296</v>
      </c>
      <c r="B131" s="334">
        <v>1</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26337.231345028486</v>
      </c>
      <c r="C3" s="43" t="s">
        <v>170</v>
      </c>
      <c r="D3" s="43"/>
      <c r="E3" s="154"/>
      <c r="F3" s="43"/>
      <c r="G3" s="43"/>
      <c r="H3" s="43"/>
      <c r="I3" s="43"/>
      <c r="J3" s="43"/>
      <c r="K3" s="96"/>
    </row>
    <row r="4" spans="1:11">
      <c r="A4" s="383" t="s">
        <v>171</v>
      </c>
      <c r="B4" s="49">
        <f>IF(ISERROR('SEAP template'!B69),0,'SEAP template'!B69)</f>
        <v>22416.83968606095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3.2896645257868819E-2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28942.714285714283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665.58900000000006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665.58900000000006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3.2896645257868819E-2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21.895645220539652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13432.1406981373</v>
      </c>
      <c r="C5" s="17">
        <f>IF(ISERROR('Eigen informatie GS &amp; warmtenet'!B57),0,'Eigen informatie GS &amp; warmtenet'!B57)</f>
        <v>0</v>
      </c>
      <c r="D5" s="30">
        <f>(SUM(HH_hh_gas_kWh,HH_rest_gas_kWh)/1000)*0.902</f>
        <v>22645.165519941307</v>
      </c>
      <c r="E5" s="17">
        <f>B46*B57</f>
        <v>3274.1534877338286</v>
      </c>
      <c r="F5" s="17">
        <f>B51*B62</f>
        <v>21109.308927473998</v>
      </c>
      <c r="G5" s="18"/>
      <c r="H5" s="17"/>
      <c r="I5" s="17"/>
      <c r="J5" s="17">
        <f>B50*B61+C50*C61</f>
        <v>1502.0899288173036</v>
      </c>
      <c r="K5" s="17"/>
      <c r="L5" s="17"/>
      <c r="M5" s="17"/>
      <c r="N5" s="17">
        <f>B48*B59+C48*C59</f>
        <v>11643.273749715603</v>
      </c>
      <c r="O5" s="17">
        <f>B69*B70*B71</f>
        <v>251.69666666666669</v>
      </c>
      <c r="P5" s="17">
        <f>B77*B78*B79/1000-B77*B78*B79/1000/B80</f>
        <v>705.4666666666667</v>
      </c>
    </row>
    <row r="6" spans="1:16">
      <c r="A6" s="16" t="s">
        <v>621</v>
      </c>
      <c r="B6" s="843">
        <f>kWh_PV_kleiner_dan_10kW</f>
        <v>1720.4506835271411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15152.591381664441</v>
      </c>
      <c r="C8" s="21">
        <f>C5</f>
        <v>0</v>
      </c>
      <c r="D8" s="21">
        <f>D5</f>
        <v>22645.165519941307</v>
      </c>
      <c r="E8" s="21">
        <f>E5</f>
        <v>3274.1534877338286</v>
      </c>
      <c r="F8" s="21">
        <f>F5</f>
        <v>21109.308927473998</v>
      </c>
      <c r="G8" s="21"/>
      <c r="H8" s="21"/>
      <c r="I8" s="21"/>
      <c r="J8" s="21">
        <f>J5</f>
        <v>1502.0899288173036</v>
      </c>
      <c r="K8" s="21"/>
      <c r="L8" s="21">
        <f>L5</f>
        <v>0</v>
      </c>
      <c r="M8" s="21">
        <f>M5</f>
        <v>0</v>
      </c>
      <c r="N8" s="21">
        <f>N5</f>
        <v>11643.273749715603</v>
      </c>
      <c r="O8" s="21">
        <f>O5</f>
        <v>251.69666666666669</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3.2896645257868819E-2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498.46942342005548</v>
      </c>
      <c r="C12" s="23">
        <f ca="1">C10*C8</f>
        <v>0</v>
      </c>
      <c r="D12" s="23">
        <f>D8*D10</f>
        <v>4574.3234350281446</v>
      </c>
      <c r="E12" s="23">
        <f>E10*E8</f>
        <v>743.23284171557907</v>
      </c>
      <c r="F12" s="23">
        <f>F10*F8</f>
        <v>5636.1854836355578</v>
      </c>
      <c r="G12" s="23"/>
      <c r="H12" s="23"/>
      <c r="I12" s="23"/>
      <c r="J12" s="23">
        <f>J10*J8</f>
        <v>531.73983480132551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570</v>
      </c>
      <c r="C18" s="166" t="s">
        <v>111</v>
      </c>
      <c r="D18" s="228"/>
      <c r="E18" s="15"/>
    </row>
    <row r="19" spans="1:7">
      <c r="A19" s="171" t="s">
        <v>72</v>
      </c>
      <c r="B19" s="37">
        <f>aantalw2001_ander</f>
        <v>0</v>
      </c>
      <c r="C19" s="166" t="s">
        <v>111</v>
      </c>
      <c r="D19" s="229"/>
      <c r="E19" s="15"/>
    </row>
    <row r="20" spans="1:7">
      <c r="A20" s="171" t="s">
        <v>73</v>
      </c>
      <c r="B20" s="37">
        <f>aantalw2001_propaan</f>
        <v>92</v>
      </c>
      <c r="C20" s="167">
        <f>IF(ISERROR(B20/SUM($B$20,$B$21,$B$22)*100),0,B20/SUM($B$20,$B$21,$B$22)*100)</f>
        <v>15.619694397283531</v>
      </c>
      <c r="D20" s="229"/>
      <c r="E20" s="15"/>
    </row>
    <row r="21" spans="1:7">
      <c r="A21" s="171" t="s">
        <v>74</v>
      </c>
      <c r="B21" s="37">
        <f>aantalw2001_elektriciteit</f>
        <v>401</v>
      </c>
      <c r="C21" s="167">
        <f>IF(ISERROR(B21/SUM($B$20,$B$21,$B$22)*100),0,B21/SUM($B$20,$B$21,$B$22)*100)</f>
        <v>68.081494057724953</v>
      </c>
      <c r="D21" s="229"/>
      <c r="E21" s="15"/>
    </row>
    <row r="22" spans="1:7">
      <c r="A22" s="171" t="s">
        <v>75</v>
      </c>
      <c r="B22" s="37">
        <f>aantalw2001_hout</f>
        <v>96</v>
      </c>
      <c r="C22" s="167">
        <f>IF(ISERROR(B22/SUM($B$20,$B$21,$B$22)*100),0,B22/SUM($B$20,$B$21,$B$22)*100)</f>
        <v>16.298811544991512</v>
      </c>
      <c r="D22" s="229"/>
      <c r="E22" s="15"/>
    </row>
    <row r="23" spans="1:7">
      <c r="A23" s="171" t="s">
        <v>76</v>
      </c>
      <c r="B23" s="37">
        <f>aantalw2001_niet_gespec</f>
        <v>61</v>
      </c>
      <c r="C23" s="166" t="s">
        <v>111</v>
      </c>
      <c r="D23" s="228"/>
      <c r="E23" s="15"/>
    </row>
    <row r="24" spans="1:7">
      <c r="A24" s="171" t="s">
        <v>77</v>
      </c>
      <c r="B24" s="37">
        <f>aantalw2001_steenkool</f>
        <v>146</v>
      </c>
      <c r="C24" s="166" t="s">
        <v>111</v>
      </c>
      <c r="D24" s="229"/>
      <c r="E24" s="15"/>
    </row>
    <row r="25" spans="1:7">
      <c r="A25" s="171" t="s">
        <v>78</v>
      </c>
      <c r="B25" s="37">
        <f>aantalw2001_stookolie</f>
        <v>1746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3489</v>
      </c>
      <c r="C28" s="36"/>
      <c r="D28" s="228"/>
    </row>
    <row r="29" spans="1:7" s="15" customFormat="1">
      <c r="A29" s="230" t="s">
        <v>795</v>
      </c>
      <c r="B29" s="37">
        <f>SUM(HH_hh_gas_aantal,HH_rest_gas_aantal)</f>
        <v>1604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1604</v>
      </c>
      <c r="C32" s="167">
        <f>IF(ISERROR(B32/SUM($B$32,$B$34,$B$35,$B$36,$B$38,$B$39)*100),0,B32/SUM($B$32,$B$34,$B$35,$B$36,$B$38,$B$39)*100)</f>
        <v>46.465816917728851</v>
      </c>
      <c r="D32" s="233"/>
      <c r="G32" s="15"/>
    </row>
    <row r="33" spans="1:7">
      <c r="A33" s="171" t="s">
        <v>72</v>
      </c>
      <c r="B33" s="34" t="s">
        <v>111</v>
      </c>
      <c r="C33" s="167"/>
      <c r="D33" s="233"/>
      <c r="G33" s="15"/>
    </row>
    <row r="34" spans="1:7">
      <c r="A34" s="171" t="s">
        <v>73</v>
      </c>
      <c r="B34" s="33">
        <f>IF((($B$28-$B$32-$B$39-$B$77-$B$38)*C20/100)&lt;0,0,($B$28-$B$32-$B$39-$B$77-$B$38)*C20/100)</f>
        <v>154.63497453310694</v>
      </c>
      <c r="C34" s="167">
        <f>IF(ISERROR(B34/SUM($B$32,$B$34,$B$35,$B$36,$B$38,$B$39)*100),0,B34/SUM($B$32,$B$34,$B$35,$B$36,$B$38,$B$39)*100)</f>
        <v>4.4795763190355427</v>
      </c>
      <c r="D34" s="233"/>
      <c r="G34" s="15"/>
    </row>
    <row r="35" spans="1:7">
      <c r="A35" s="171" t="s">
        <v>74</v>
      </c>
      <c r="B35" s="33">
        <f>IF((($B$28-$B$32-$B$39-$B$77-$B$38)*C21/100)&lt;0,0,($B$28-$B$32-$B$39-$B$77-$B$38)*C21/100)</f>
        <v>674.00679117147695</v>
      </c>
      <c r="C35" s="167">
        <f>IF(ISERROR(B35/SUM($B$32,$B$34,$B$35,$B$36,$B$38,$B$39)*100),0,B35/SUM($B$32,$B$34,$B$35,$B$36,$B$38,$B$39)*100)</f>
        <v>19.52510982536144</v>
      </c>
      <c r="D35" s="233"/>
      <c r="G35" s="15"/>
    </row>
    <row r="36" spans="1:7">
      <c r="A36" s="171" t="s">
        <v>75</v>
      </c>
      <c r="B36" s="33">
        <f>IF((($B$28-$B$32-$B$39-$B$77-$B$38)*C22/100)&lt;0,0,($B$28-$B$32-$B$39-$B$77-$B$38)*C22/100)</f>
        <v>161.35823429541594</v>
      </c>
      <c r="C36" s="167">
        <f>IF(ISERROR(B36/SUM($B$32,$B$34,$B$35,$B$36,$B$38,$B$39)*100),0,B36/SUM($B$32,$B$34,$B$35,$B$36,$B$38,$B$39)*100)</f>
        <v>4.6743405068196973</v>
      </c>
      <c r="D36" s="233"/>
      <c r="G36" s="15"/>
    </row>
    <row r="37" spans="1:7">
      <c r="A37" s="171" t="s">
        <v>76</v>
      </c>
      <c r="B37" s="34" t="s">
        <v>111</v>
      </c>
      <c r="C37" s="167"/>
      <c r="D37" s="173"/>
      <c r="G37" s="15"/>
    </row>
    <row r="38" spans="1:7">
      <c r="A38" s="171" t="s">
        <v>77</v>
      </c>
      <c r="B38" s="33">
        <f>IF((B24-(B29-B18)*0.1)&lt;0,0,B24-(B29-B18)*0.1)</f>
        <v>42.599999999999994</v>
      </c>
      <c r="C38" s="167">
        <f>IF(ISERROR(B38/SUM($B$32,$B$34,$B$35,$B$36,$B$38,$B$39)*100),0,B38/SUM($B$32,$B$34,$B$35,$B$36,$B$38,$B$39)*100)</f>
        <v>1.2340672074159906</v>
      </c>
      <c r="D38" s="234"/>
      <c r="G38" s="15"/>
    </row>
    <row r="39" spans="1:7">
      <c r="A39" s="171" t="s">
        <v>78</v>
      </c>
      <c r="B39" s="33">
        <f>IF((B25-(B29-B18))&lt;0,0,B25-(B29-B18)*0.9)</f>
        <v>815.4</v>
      </c>
      <c r="C39" s="167">
        <f>IF(ISERROR(B39/SUM($B$32,$B$34,$B$35,$B$36,$B$38,$B$39)*100),0,B39/SUM($B$32,$B$34,$B$35,$B$36,$B$38,$B$39)*100)</f>
        <v>23.621089223638471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1604</v>
      </c>
      <c r="C44" s="34" t="s">
        <v>111</v>
      </c>
      <c r="D44" s="174"/>
    </row>
    <row r="45" spans="1:7">
      <c r="A45" s="171" t="s">
        <v>72</v>
      </c>
      <c r="B45" s="33" t="str">
        <f t="shared" si="0"/>
        <v>-</v>
      </c>
      <c r="C45" s="34" t="s">
        <v>111</v>
      </c>
      <c r="D45" s="174"/>
    </row>
    <row r="46" spans="1:7">
      <c r="A46" s="171" t="s">
        <v>73</v>
      </c>
      <c r="B46" s="33">
        <f t="shared" si="0"/>
        <v>154.63497453310694</v>
      </c>
      <c r="C46" s="34" t="s">
        <v>111</v>
      </c>
      <c r="D46" s="174"/>
    </row>
    <row r="47" spans="1:7">
      <c r="A47" s="171" t="s">
        <v>74</v>
      </c>
      <c r="B47" s="33">
        <f t="shared" si="0"/>
        <v>674.00679117147695</v>
      </c>
      <c r="C47" s="34" t="s">
        <v>111</v>
      </c>
      <c r="D47" s="174"/>
    </row>
    <row r="48" spans="1:7">
      <c r="A48" s="171" t="s">
        <v>75</v>
      </c>
      <c r="B48" s="33">
        <f t="shared" si="0"/>
        <v>161.35823429541594</v>
      </c>
      <c r="C48" s="33">
        <f>B48*10</f>
        <v>1613.5823429541595</v>
      </c>
      <c r="D48" s="234"/>
    </row>
    <row r="49" spans="1:6">
      <c r="A49" s="171" t="s">
        <v>76</v>
      </c>
      <c r="B49" s="33" t="str">
        <f t="shared" si="0"/>
        <v>-</v>
      </c>
      <c r="C49" s="34" t="s">
        <v>111</v>
      </c>
      <c r="D49" s="234"/>
    </row>
    <row r="50" spans="1:6">
      <c r="A50" s="171" t="s">
        <v>77</v>
      </c>
      <c r="B50" s="33">
        <f t="shared" si="0"/>
        <v>42.599999999999994</v>
      </c>
      <c r="C50" s="33">
        <f>B50*2</f>
        <v>85.199999999999989</v>
      </c>
      <c r="D50" s="234"/>
    </row>
    <row r="51" spans="1:6">
      <c r="A51" s="171" t="s">
        <v>78</v>
      </c>
      <c r="B51" s="33">
        <f t="shared" si="0"/>
        <v>815.4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6505.9196778261266</v>
      </c>
      <c r="C5" s="17">
        <f>IF(ISERROR('Eigen informatie GS &amp; warmtenet'!B58),0,'Eigen informatie GS &amp; warmtenet'!B58)</f>
        <v>0</v>
      </c>
      <c r="D5" s="30">
        <f>SUM(D6:D12)</f>
        <v>7920.7005760900629</v>
      </c>
      <c r="E5" s="17">
        <f>SUM(E6:E12)</f>
        <v>95.077228782019432</v>
      </c>
      <c r="F5" s="17">
        <f>SUM(F6:F12)</f>
        <v>1172.4574903322143</v>
      </c>
      <c r="G5" s="18"/>
      <c r="H5" s="17"/>
      <c r="I5" s="17"/>
      <c r="J5" s="17">
        <f>SUM(J6:J12)</f>
        <v>2.2668107216868117E-2</v>
      </c>
      <c r="K5" s="17"/>
      <c r="L5" s="17"/>
      <c r="M5" s="17"/>
      <c r="N5" s="17">
        <f>SUM(N6:N12)</f>
        <v>896.88752521483957</v>
      </c>
      <c r="O5" s="17">
        <f>B38*B39*B40</f>
        <v>4.6900000000000004</v>
      </c>
      <c r="P5" s="17">
        <f>B46*B47*B48/1000-B46*B47*B48/1000/B49</f>
        <v>19.066666666666666</v>
      </c>
      <c r="R5" s="32"/>
    </row>
    <row r="6" spans="1:18">
      <c r="A6" s="32" t="s">
        <v>54</v>
      </c>
      <c r="B6" s="37">
        <f>B26</f>
        <v>1131.0581565659299</v>
      </c>
      <c r="C6" s="33"/>
      <c r="D6" s="37">
        <f>IF(ISERROR(TER_kantoor_gas_kWh/1000),0,TER_kantoor_gas_kWh/1000)*0.902</f>
        <v>1450.4727466322715</v>
      </c>
      <c r="E6" s="33">
        <f>$C$26*'E Balans VL '!I12/100/3.6*1000000</f>
        <v>7.0890963413058269E-3</v>
      </c>
      <c r="F6" s="33">
        <f>$C$26*('E Balans VL '!L12+'E Balans VL '!N12)/100/3.6*1000000</f>
        <v>169.96643615269807</v>
      </c>
      <c r="G6" s="34"/>
      <c r="H6" s="33"/>
      <c r="I6" s="33"/>
      <c r="J6" s="33">
        <f>$C$26*('E Balans VL '!D12+'E Balans VL '!E12)/100/3.6*1000000</f>
        <v>0</v>
      </c>
      <c r="K6" s="33"/>
      <c r="L6" s="33"/>
      <c r="M6" s="33"/>
      <c r="N6" s="33">
        <f>$C$26*'E Balans VL '!Y12/100/3.6*1000000</f>
        <v>1.0816894289797485</v>
      </c>
      <c r="O6" s="33"/>
      <c r="P6" s="33"/>
      <c r="R6" s="32"/>
    </row>
    <row r="7" spans="1:18">
      <c r="A7" s="32" t="s">
        <v>53</v>
      </c>
      <c r="B7" s="37">
        <f t="shared" ref="B7:B12" si="0">B27</f>
        <v>522.801518770798</v>
      </c>
      <c r="C7" s="33"/>
      <c r="D7" s="37">
        <f>IF(ISERROR(TER_horeca_gas_kWh/1000),0,TER_horeca_gas_kWh/1000)*0.902</f>
        <v>606.08870253097427</v>
      </c>
      <c r="E7" s="33">
        <f>$C$27*'E Balans VL '!I9/100/3.6*1000000</f>
        <v>7.4864306666886087</v>
      </c>
      <c r="F7" s="33">
        <f>$C$27*('E Balans VL '!L9+'E Balans VL '!N9)/100/3.6*1000000</f>
        <v>66.203914934760391</v>
      </c>
      <c r="G7" s="34"/>
      <c r="H7" s="33"/>
      <c r="I7" s="33"/>
      <c r="J7" s="33">
        <f>$C$27*('E Balans VL '!D9+'E Balans VL '!E9)/100/3.6*1000000</f>
        <v>0</v>
      </c>
      <c r="K7" s="33"/>
      <c r="L7" s="33"/>
      <c r="M7" s="33"/>
      <c r="N7" s="33">
        <f>$C$27*'E Balans VL '!Y9/100/3.6*1000000</f>
        <v>0.15029390986257082</v>
      </c>
      <c r="O7" s="33"/>
      <c r="P7" s="33"/>
      <c r="R7" s="32"/>
    </row>
    <row r="8" spans="1:18">
      <c r="A8" s="6" t="s">
        <v>52</v>
      </c>
      <c r="B8" s="37">
        <f t="shared" si="0"/>
        <v>1564.7841854401202</v>
      </c>
      <c r="C8" s="33"/>
      <c r="D8" s="37">
        <f>IF(ISERROR(TER_handel_gas_kWh/1000),0,TER_handel_gas_kWh/1000)*0.902</f>
        <v>689.66271114845279</v>
      </c>
      <c r="E8" s="33">
        <f>$C$28*'E Balans VL '!I13/100/3.6*1000000</f>
        <v>56.754529445372349</v>
      </c>
      <c r="F8" s="33">
        <f>$C$28*('E Balans VL '!L13+'E Balans VL '!N13)/100/3.6*1000000</f>
        <v>301.39327856300326</v>
      </c>
      <c r="G8" s="34"/>
      <c r="H8" s="33"/>
      <c r="I8" s="33"/>
      <c r="J8" s="33">
        <f>$C$28*('E Balans VL '!D13+'E Balans VL '!E13)/100/3.6*1000000</f>
        <v>0</v>
      </c>
      <c r="K8" s="33"/>
      <c r="L8" s="33"/>
      <c r="M8" s="33"/>
      <c r="N8" s="33">
        <f>$C$28*'E Balans VL '!Y13/100/3.6*1000000</f>
        <v>2.1675861376182985</v>
      </c>
      <c r="O8" s="33"/>
      <c r="P8" s="33"/>
      <c r="R8" s="32"/>
    </row>
    <row r="9" spans="1:18">
      <c r="A9" s="32" t="s">
        <v>51</v>
      </c>
      <c r="B9" s="37">
        <f t="shared" si="0"/>
        <v>105.057568723269</v>
      </c>
      <c r="C9" s="33"/>
      <c r="D9" s="37">
        <f>IF(ISERROR(TER_gezond_gas_kWh/1000),0,TER_gezond_gas_kWh/1000)*0.902</f>
        <v>1630.7988645616711</v>
      </c>
      <c r="E9" s="33">
        <f>$C$29*'E Balans VL '!I10/100/3.6*1000000</f>
        <v>6.5776410581766314E-3</v>
      </c>
      <c r="F9" s="33">
        <f>$C$29*('E Balans VL '!L10+'E Balans VL '!N10)/100/3.6*1000000</f>
        <v>15.606621703675577</v>
      </c>
      <c r="G9" s="34"/>
      <c r="H9" s="33"/>
      <c r="I9" s="33"/>
      <c r="J9" s="33">
        <f>$C$29*('E Balans VL '!D10+'E Balans VL '!E10)/100/3.6*1000000</f>
        <v>0</v>
      </c>
      <c r="K9" s="33"/>
      <c r="L9" s="33"/>
      <c r="M9" s="33"/>
      <c r="N9" s="33">
        <f>$C$29*'E Balans VL '!Y10/100/3.6*1000000</f>
        <v>1.625040610200378</v>
      </c>
      <c r="O9" s="33"/>
      <c r="P9" s="33"/>
      <c r="R9" s="32"/>
    </row>
    <row r="10" spans="1:18">
      <c r="A10" s="32" t="s">
        <v>50</v>
      </c>
      <c r="B10" s="37">
        <f t="shared" si="0"/>
        <v>777.44142912474103</v>
      </c>
      <c r="C10" s="33"/>
      <c r="D10" s="37">
        <f>IF(ISERROR(TER_ander_gas_kWh/1000),0,TER_ander_gas_kWh/1000)*0.902</f>
        <v>1509.1864590971861</v>
      </c>
      <c r="E10" s="33">
        <f>$C$30*'E Balans VL '!I14/100/3.6*1000000</f>
        <v>0.9266824024541892</v>
      </c>
      <c r="F10" s="33">
        <f>$C$30*('E Balans VL '!L14+'E Balans VL '!N14)/100/3.6*1000000</f>
        <v>203.41324019033701</v>
      </c>
      <c r="G10" s="34"/>
      <c r="H10" s="33"/>
      <c r="I10" s="33"/>
      <c r="J10" s="33">
        <f>$C$30*('E Balans VL '!D14+'E Balans VL '!E14)/100/3.6*1000000</f>
        <v>1.6875205940043023E-2</v>
      </c>
      <c r="K10" s="33"/>
      <c r="L10" s="33"/>
      <c r="M10" s="33"/>
      <c r="N10" s="33">
        <f>$C$30*'E Balans VL '!Y14/100/3.6*1000000</f>
        <v>660.18423788873747</v>
      </c>
      <c r="O10" s="33"/>
      <c r="P10" s="33"/>
      <c r="R10" s="32"/>
    </row>
    <row r="11" spans="1:18">
      <c r="A11" s="32" t="s">
        <v>55</v>
      </c>
      <c r="B11" s="37">
        <f t="shared" si="0"/>
        <v>12.5237096881095</v>
      </c>
      <c r="C11" s="33"/>
      <c r="D11" s="37">
        <f>IF(ISERROR(TER_onderwijs_gas_kWh/1000),0,TER_onderwijs_gas_kWh/1000)*0.902</f>
        <v>0</v>
      </c>
      <c r="E11" s="33">
        <f>$C$31*'E Balans VL '!I11/100/3.6*1000000</f>
        <v>0.18896260784103189</v>
      </c>
      <c r="F11" s="33">
        <f>$C$31*('E Balans VL '!L11+'E Balans VL '!N11)/100/3.6*1000000</f>
        <v>2.1943540095711334</v>
      </c>
      <c r="G11" s="34"/>
      <c r="H11" s="33"/>
      <c r="I11" s="33"/>
      <c r="J11" s="33">
        <f>$C$31*('E Balans VL '!D11+'E Balans VL '!E11)/100/3.6*1000000</f>
        <v>0</v>
      </c>
      <c r="K11" s="33"/>
      <c r="L11" s="33"/>
      <c r="M11" s="33"/>
      <c r="N11" s="33">
        <f>$C$31*'E Balans VL '!Y11/100/3.6*1000000</f>
        <v>3.5242671151007939E-2</v>
      </c>
      <c r="O11" s="33"/>
      <c r="P11" s="33"/>
      <c r="R11" s="32"/>
    </row>
    <row r="12" spans="1:18">
      <c r="A12" s="32" t="s">
        <v>260</v>
      </c>
      <c r="B12" s="37">
        <f t="shared" si="0"/>
        <v>2392.2531095131599</v>
      </c>
      <c r="C12" s="33"/>
      <c r="D12" s="37">
        <f>IF(ISERROR(TER_rest_gas_kWh/1000),0,TER_rest_gas_kWh/1000)*0.902</f>
        <v>2034.4910921195074</v>
      </c>
      <c r="E12" s="33">
        <f>$C$32*'E Balans VL '!I8/100/3.6*1000000</f>
        <v>29.706956922263775</v>
      </c>
      <c r="F12" s="33">
        <f>$C$32*('E Balans VL '!L8+'E Balans VL '!N8)/100/3.6*1000000</f>
        <v>413.67964477816889</v>
      </c>
      <c r="G12" s="34"/>
      <c r="H12" s="33"/>
      <c r="I12" s="33"/>
      <c r="J12" s="33">
        <f>$C$32*('E Balans VL '!D8+'E Balans VL '!E8)/100/3.6*1000000</f>
        <v>5.7929012768250937E-3</v>
      </c>
      <c r="K12" s="33"/>
      <c r="L12" s="33"/>
      <c r="M12" s="33"/>
      <c r="N12" s="33">
        <f>$C$32*'E Balans VL '!Y8/100/3.6*1000000</f>
        <v>231.64343456829016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6505.9196778261266</v>
      </c>
      <c r="C16" s="21">
        <f t="shared" ca="1" si="1"/>
        <v>0</v>
      </c>
      <c r="D16" s="21">
        <f t="shared" ca="1" si="1"/>
        <v>7920.7005760900629</v>
      </c>
      <c r="E16" s="21">
        <f t="shared" si="1"/>
        <v>95.077228782019432</v>
      </c>
      <c r="F16" s="21">
        <f t="shared" ca="1" si="1"/>
        <v>1172.4574903322143</v>
      </c>
      <c r="G16" s="21">
        <f t="shared" si="1"/>
        <v>0</v>
      </c>
      <c r="H16" s="21">
        <f t="shared" si="1"/>
        <v>0</v>
      </c>
      <c r="I16" s="21">
        <f t="shared" si="1"/>
        <v>0</v>
      </c>
      <c r="J16" s="21">
        <f t="shared" si="1"/>
        <v>2.2668107216868117E-2</v>
      </c>
      <c r="K16" s="21">
        <f t="shared" si="1"/>
        <v>0</v>
      </c>
      <c r="L16" s="21">
        <f t="shared" ca="1" si="1"/>
        <v>0</v>
      </c>
      <c r="M16" s="21">
        <f t="shared" si="1"/>
        <v>0</v>
      </c>
      <c r="N16" s="21">
        <f t="shared" ca="1" si="1"/>
        <v>896.88752521483957</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3.2896645257868819E-2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214.02293171763429</v>
      </c>
      <c r="C20" s="23">
        <f t="shared" ref="C20:P20" ca="1" si="2">C16*C18</f>
        <v>0</v>
      </c>
      <c r="D20" s="23">
        <f t="shared" ca="1" si="2"/>
        <v>1599.9815163701928</v>
      </c>
      <c r="E20" s="23">
        <f t="shared" si="2"/>
        <v>21.582530933518413</v>
      </c>
      <c r="F20" s="23">
        <f t="shared" ca="1" si="2"/>
        <v>313.04614991870125</v>
      </c>
      <c r="G20" s="23">
        <f t="shared" si="2"/>
        <v>0</v>
      </c>
      <c r="H20" s="23">
        <f t="shared" si="2"/>
        <v>0</v>
      </c>
      <c r="I20" s="23">
        <f t="shared" si="2"/>
        <v>0</v>
      </c>
      <c r="J20" s="23">
        <f t="shared" si="2"/>
        <v>8.0245099547713132E-3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1131.0581565659299</v>
      </c>
      <c r="C26" s="39">
        <f>IF(ISERROR(B26*3.6/1000000/'E Balans VL '!Z12*100),0,B26*3.6/1000000/'E Balans VL '!Z12*100)</f>
        <v>2.3908777688955763E-2</v>
      </c>
      <c r="D26" s="237" t="s">
        <v>754</v>
      </c>
      <c r="F26" s="6"/>
    </row>
    <row r="27" spans="1:18">
      <c r="A27" s="231" t="s">
        <v>53</v>
      </c>
      <c r="B27" s="33">
        <f>IF(ISERROR(TER_horeca_ele_kWh/1000),0,TER_horeca_ele_kWh/1000)</f>
        <v>522.801518770798</v>
      </c>
      <c r="C27" s="39">
        <f>IF(ISERROR(B27*3.6/1000000/'E Balans VL '!Z9*100),0,B27*3.6/1000000/'E Balans VL '!Z9*100)</f>
        <v>4.1212248866628096E-2</v>
      </c>
      <c r="D27" s="237" t="s">
        <v>754</v>
      </c>
      <c r="F27" s="6"/>
    </row>
    <row r="28" spans="1:18">
      <c r="A28" s="171" t="s">
        <v>52</v>
      </c>
      <c r="B28" s="33">
        <f>IF(ISERROR(TER_handel_ele_kWh/1000),0,TER_handel_ele_kWh/1000)</f>
        <v>1564.7841854401202</v>
      </c>
      <c r="C28" s="39">
        <f>IF(ISERROR(B28*3.6/1000000/'E Balans VL '!Z13*100),0,B28*3.6/1000000/'E Balans VL '!Z13*100)</f>
        <v>4.5416359498049085E-2</v>
      </c>
      <c r="D28" s="237" t="s">
        <v>754</v>
      </c>
      <c r="F28" s="6"/>
    </row>
    <row r="29" spans="1:18">
      <c r="A29" s="231" t="s">
        <v>51</v>
      </c>
      <c r="B29" s="33">
        <f>IF(ISERROR(TER_gezond_ele_kWh/1000),0,TER_gezond_ele_kWh/1000)</f>
        <v>105.057568723269</v>
      </c>
      <c r="C29" s="39">
        <f>IF(ISERROR(B29*3.6/1000000/'E Balans VL '!Z10*100),0,B29*3.6/1000000/'E Balans VL '!Z10*100)</f>
        <v>1.1064287077374391E-2</v>
      </c>
      <c r="D29" s="237" t="s">
        <v>754</v>
      </c>
      <c r="F29" s="6"/>
    </row>
    <row r="30" spans="1:18">
      <c r="A30" s="231" t="s">
        <v>50</v>
      </c>
      <c r="B30" s="33">
        <f>IF(ISERROR(TER_ander_ele_kWh/1000),0,TER_ander_ele_kWh/1000)</f>
        <v>777.44142912474103</v>
      </c>
      <c r="C30" s="39">
        <f>IF(ISERROR(B30*3.6/1000000/'E Balans VL '!Z14*100),0,B30*3.6/1000000/'E Balans VL '!Z14*100)</f>
        <v>5.7344248671679338E-2</v>
      </c>
      <c r="D30" s="237" t="s">
        <v>754</v>
      </c>
      <c r="F30" s="6"/>
    </row>
    <row r="31" spans="1:18">
      <c r="A31" s="231" t="s">
        <v>55</v>
      </c>
      <c r="B31" s="33">
        <f>IF(ISERROR(TER_onderwijs_ele_kWh/1000),0,TER_onderwijs_ele_kWh/1000)</f>
        <v>12.5237096881095</v>
      </c>
      <c r="C31" s="39">
        <f>IF(ISERROR(B31*3.6/1000000/'E Balans VL '!Z11*100),0,B31*3.6/1000000/'E Balans VL '!Z11*100)</f>
        <v>3.1102237606681184E-3</v>
      </c>
      <c r="D31" s="237" t="s">
        <v>754</v>
      </c>
    </row>
    <row r="32" spans="1:18">
      <c r="A32" s="231" t="s">
        <v>260</v>
      </c>
      <c r="B32" s="33">
        <f>IF(ISERROR(TER_rest_ele_kWh/1000),0,TER_rest_ele_kWh/1000)</f>
        <v>2392.2531095131599</v>
      </c>
      <c r="C32" s="39">
        <f>IF(ISERROR(B32*3.6/1000000/'E Balans VL '!Z8*100),0,B32*3.6/1000000/'E Balans VL '!Z8*100)</f>
        <v>1.9685067698077523E-2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1738.531098103176</v>
      </c>
      <c r="C5" s="17">
        <f>IF(ISERROR('Eigen informatie GS &amp; warmtenet'!B59),0,'Eigen informatie GS &amp; warmtenet'!B59)</f>
        <v>0</v>
      </c>
      <c r="D5" s="30">
        <f>SUM(D6:D15)</f>
        <v>1307.1418366103535</v>
      </c>
      <c r="E5" s="17">
        <f>SUM(E6:E15)</f>
        <v>276.91237543284973</v>
      </c>
      <c r="F5" s="17">
        <f>SUM(F6:F15)</f>
        <v>805.00184614920056</v>
      </c>
      <c r="G5" s="18"/>
      <c r="H5" s="17"/>
      <c r="I5" s="17"/>
      <c r="J5" s="17">
        <f>SUM(J6:J15)</f>
        <v>2.4242586304345175</v>
      </c>
      <c r="K5" s="17"/>
      <c r="L5" s="17"/>
      <c r="M5" s="17"/>
      <c r="N5" s="17">
        <f>SUM(N6:N15)</f>
        <v>436.4636363199844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13.6052045986408</v>
      </c>
      <c r="C8" s="33"/>
      <c r="D8" s="37">
        <f>IF( ISERROR(IND_metaal_Gas_kWH/1000),0,IND_metaal_Gas_kWH/1000)*0.902</f>
        <v>0</v>
      </c>
      <c r="E8" s="33">
        <f>C30*'E Balans VL '!I18/100/3.6*1000000</f>
        <v>0.12508671625293871</v>
      </c>
      <c r="F8" s="33">
        <f>C30*'E Balans VL '!L18/100/3.6*1000000+C30*'E Balans VL '!N18/100/3.6*1000000</f>
        <v>1.2757152282404156</v>
      </c>
      <c r="G8" s="34"/>
      <c r="H8" s="33"/>
      <c r="I8" s="33"/>
      <c r="J8" s="40">
        <f>C30*'E Balans VL '!D18/100/3.6*1000000+C30*'E Balans VL '!E18/100/3.6*1000000</f>
        <v>0</v>
      </c>
      <c r="K8" s="33"/>
      <c r="L8" s="33"/>
      <c r="M8" s="33"/>
      <c r="N8" s="33">
        <f>C30*'E Balans VL '!Y18/100/3.6*1000000</f>
        <v>0.19410072714701598</v>
      </c>
      <c r="O8" s="33"/>
      <c r="P8" s="33"/>
      <c r="R8" s="32"/>
    </row>
    <row r="9" spans="1:18">
      <c r="A9" s="6" t="s">
        <v>33</v>
      </c>
      <c r="B9" s="37">
        <f t="shared" si="0"/>
        <v>817.24760610241503</v>
      </c>
      <c r="C9" s="33"/>
      <c r="D9" s="37">
        <f>IF( ISERROR(IND_andere_gas_kWh/1000),0,IND_andere_gas_kWh/1000)*0.902</f>
        <v>339.76324974661981</v>
      </c>
      <c r="E9" s="33">
        <f>C31*'E Balans VL '!I19/100/3.6*1000000</f>
        <v>238.89738519806085</v>
      </c>
      <c r="F9" s="33">
        <f>C31*'E Balans VL '!L19/100/3.6*1000000+C31*'E Balans VL '!N19/100/3.6*1000000</f>
        <v>656.72031146301322</v>
      </c>
      <c r="G9" s="34"/>
      <c r="H9" s="33"/>
      <c r="I9" s="33"/>
      <c r="J9" s="40">
        <f>C31*'E Balans VL '!D19/100/3.6*1000000+C31*'E Balans VL '!E19/100/3.6*1000000</f>
        <v>0</v>
      </c>
      <c r="K9" s="33"/>
      <c r="L9" s="33"/>
      <c r="M9" s="33"/>
      <c r="N9" s="33">
        <f>C31*'E Balans VL '!Y19/100/3.6*1000000</f>
        <v>270.0312836679779</v>
      </c>
      <c r="O9" s="33"/>
      <c r="P9" s="33"/>
      <c r="R9" s="32"/>
    </row>
    <row r="10" spans="1:18">
      <c r="A10" s="6" t="s">
        <v>41</v>
      </c>
      <c r="B10" s="37">
        <f t="shared" si="0"/>
        <v>196.89204236832799</v>
      </c>
      <c r="C10" s="33"/>
      <c r="D10" s="37">
        <f>IF( ISERROR(IND_voed_gas_kWh/1000),0,IND_voed_gas_kWh/1000)*0.902</f>
        <v>0</v>
      </c>
      <c r="E10" s="33">
        <f>C32*'E Balans VL '!I20/100/3.6*1000000</f>
        <v>0.41652816847747226</v>
      </c>
      <c r="F10" s="33">
        <f>C32*'E Balans VL '!L20/100/3.6*1000000+C32*'E Balans VL '!N20/100/3.6*1000000</f>
        <v>12.518597173101838</v>
      </c>
      <c r="G10" s="34"/>
      <c r="H10" s="33"/>
      <c r="I10" s="33"/>
      <c r="J10" s="40">
        <f>C32*'E Balans VL '!D20/100/3.6*1000000+C32*'E Balans VL '!E20/100/3.6*1000000</f>
        <v>0</v>
      </c>
      <c r="K10" s="33"/>
      <c r="L10" s="33"/>
      <c r="M10" s="33"/>
      <c r="N10" s="33">
        <f>C32*'E Balans VL '!Y20/100/3.6*1000000</f>
        <v>13.587493901564578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33.615432949262996</v>
      </c>
      <c r="C14" s="33"/>
      <c r="D14" s="37">
        <f>IF( ISERROR(IND_chemie_gas_kWh/1000),0,IND_chemie_gas_kWh/1000)*0.902</f>
        <v>0</v>
      </c>
      <c r="E14" s="33">
        <f>C36*'E Balans VL '!I24/100/3.6*1000000</f>
        <v>8.2751564467375249E-2</v>
      </c>
      <c r="F14" s="33">
        <f>C36*'E Balans VL '!L24/100/3.6*1000000+C36*'E Balans VL '!N24/100/3.6*1000000</f>
        <v>0.35995247942710434</v>
      </c>
      <c r="G14" s="34"/>
      <c r="H14" s="33"/>
      <c r="I14" s="33"/>
      <c r="J14" s="40">
        <f>C36*'E Balans VL '!D24/100/3.6*1000000+C36*'E Balans VL '!E24/100/3.6*1000000</f>
        <v>0</v>
      </c>
      <c r="K14" s="33"/>
      <c r="L14" s="33"/>
      <c r="M14" s="33"/>
      <c r="N14" s="33">
        <f>C36*'E Balans VL '!Y24/100/3.6*1000000</f>
        <v>0.75071559823373546</v>
      </c>
      <c r="O14" s="33"/>
      <c r="P14" s="33"/>
      <c r="R14" s="32"/>
    </row>
    <row r="15" spans="1:18">
      <c r="A15" s="6" t="s">
        <v>270</v>
      </c>
      <c r="B15" s="37">
        <f t="shared" si="0"/>
        <v>677.17081208452896</v>
      </c>
      <c r="C15" s="33"/>
      <c r="D15" s="37">
        <f>IF( ISERROR(IND_rest_gas_kWh/1000),0,IND_rest_gas_kWh/1000)*0.902</f>
        <v>967.37858686373374</v>
      </c>
      <c r="E15" s="33">
        <f>C37*'E Balans VL '!I15/100/3.6*1000000</f>
        <v>37.390623785591103</v>
      </c>
      <c r="F15" s="33">
        <f>C37*'E Balans VL '!L15/100/3.6*1000000+C37*'E Balans VL '!N15/100/3.6*1000000</f>
        <v>134.12726980541797</v>
      </c>
      <c r="G15" s="34"/>
      <c r="H15" s="33"/>
      <c r="I15" s="33"/>
      <c r="J15" s="40">
        <f>C37*'E Balans VL '!D15/100/3.6*1000000+C37*'E Balans VL '!E15/100/3.6*1000000</f>
        <v>2.4242586304345175</v>
      </c>
      <c r="K15" s="33"/>
      <c r="L15" s="33"/>
      <c r="M15" s="33"/>
      <c r="N15" s="33">
        <f>C37*'E Balans VL '!Y15/100/3.6*1000000</f>
        <v>151.90004242506114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1738.531098103176</v>
      </c>
      <c r="C18" s="21">
        <f>C5+C16</f>
        <v>0</v>
      </c>
      <c r="D18" s="21">
        <f>MAX((D5+D16),0)</f>
        <v>1307.1418366103535</v>
      </c>
      <c r="E18" s="21">
        <f>MAX((E5+E16),0)</f>
        <v>276.91237543284973</v>
      </c>
      <c r="F18" s="21">
        <f>MAX((F5+F16),0)</f>
        <v>805.00184614920056</v>
      </c>
      <c r="G18" s="21"/>
      <c r="H18" s="21"/>
      <c r="I18" s="21"/>
      <c r="J18" s="21">
        <f>MAX((J5+J16),0)</f>
        <v>2.4242586304345175</v>
      </c>
      <c r="K18" s="21"/>
      <c r="L18" s="21">
        <f>MAX((L5+L16),0)</f>
        <v>0</v>
      </c>
      <c r="M18" s="21"/>
      <c r="N18" s="21">
        <f>MAX((N5+N16),0)</f>
        <v>436.4636363199844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3.2896645257868819E-2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57.191840804073315</v>
      </c>
      <c r="C22" s="23">
        <f ca="1">C18*C20</f>
        <v>0</v>
      </c>
      <c r="D22" s="23">
        <f>D18*D20</f>
        <v>264.04265099529141</v>
      </c>
      <c r="E22" s="23">
        <f>E18*E20</f>
        <v>62.859109223256887</v>
      </c>
      <c r="F22" s="23">
        <f>F18*F20</f>
        <v>214.93549292183656</v>
      </c>
      <c r="G22" s="23"/>
      <c r="H22" s="23"/>
      <c r="I22" s="23"/>
      <c r="J22" s="23">
        <f>J18*J20</f>
        <v>0.85818755517381917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13.6052045986408</v>
      </c>
      <c r="C30" s="39">
        <f>IF(ISERROR(B30*3.6/1000000/'E Balans VL '!Z18*100),0,B30*3.6/1000000/'E Balans VL '!Z18*100)</f>
        <v>7.7104183063127999E-4</v>
      </c>
      <c r="D30" s="237" t="s">
        <v>754</v>
      </c>
    </row>
    <row r="31" spans="1:18">
      <c r="A31" s="6" t="s">
        <v>33</v>
      </c>
      <c r="B31" s="37">
        <f>IF( ISERROR(IND_ander_ele_kWh/1000),0,IND_ander_ele_kWh/1000)</f>
        <v>817.24760610241503</v>
      </c>
      <c r="C31" s="39">
        <f>IF(ISERROR(B31*3.6/1000000/'E Balans VL '!Z19*100),0,B31*3.6/1000000/'E Balans VL '!Z19*100)</f>
        <v>3.7066948453001215E-2</v>
      </c>
      <c r="D31" s="237" t="s">
        <v>754</v>
      </c>
    </row>
    <row r="32" spans="1:18">
      <c r="A32" s="171" t="s">
        <v>41</v>
      </c>
      <c r="B32" s="37">
        <f>IF( ISERROR(IND_voed_ele_kWh/1000),0,IND_voed_ele_kWh/1000)</f>
        <v>196.89204236832799</v>
      </c>
      <c r="C32" s="39">
        <f>IF(ISERROR(B32*3.6/1000000/'E Balans VL '!Z20*100),0,B32*3.6/1000000/'E Balans VL '!Z20*100)</f>
        <v>6.0907646848550757E-3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33.615432949262996</v>
      </c>
      <c r="C36" s="39">
        <f>IF(ISERROR(B36*3.6/1000000/'E Balans VL '!Z24*100),0,B36*3.6/1000000/'E Balans VL '!Z24*100)</f>
        <v>1.0250698482982795E-3</v>
      </c>
      <c r="D36" s="237" t="s">
        <v>754</v>
      </c>
    </row>
    <row r="37" spans="1:5">
      <c r="A37" s="171" t="s">
        <v>270</v>
      </c>
      <c r="B37" s="37">
        <f>IF( ISERROR(IND_rest_ele_kWh/1000),0,IND_rest_ele_kWh/1000)</f>
        <v>677.17081208452896</v>
      </c>
      <c r="C37" s="39">
        <f>IF(ISERROR(B37*3.6/1000000/'E Balans VL '!Z15*100),0,B37*3.6/1000000/'E Balans VL '!Z15*100)</f>
        <v>5.36741033062056E-3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2258.9916300828245</v>
      </c>
      <c r="C5" s="17">
        <f>'Eigen informatie GS &amp; warmtenet'!B60</f>
        <v>0</v>
      </c>
      <c r="D5" s="30">
        <f>IF(ISERROR(SUM(LB_lb_gas_kWh,LB_rest_gas_kWh,onbekend_gas_kWh)/1000),0,SUM(LB_lb_gas_kWh,LB_rest_gas_kWh,onbekend_gas_kWh)/1000)*0.902</f>
        <v>743.50482490148738</v>
      </c>
      <c r="E5" s="17">
        <f>B17*'E Balans VL '!I25/3.6*1000000/100</f>
        <v>66.398663764952744</v>
      </c>
      <c r="F5" s="17">
        <f>B17*('E Balans VL '!L25/3.6*1000000+'E Balans VL '!N25/3.6*1000000)/100</f>
        <v>9410.8370614244996</v>
      </c>
      <c r="G5" s="18"/>
      <c r="H5" s="17"/>
      <c r="I5" s="17"/>
      <c r="J5" s="17">
        <f>('E Balans VL '!D25+'E Balans VL '!E25)/3.6*1000000*landbouw!B17/100</f>
        <v>327.27937479842922</v>
      </c>
      <c r="K5" s="17"/>
      <c r="L5" s="17">
        <f>L6*(-1)</f>
        <v>0</v>
      </c>
      <c r="M5" s="17"/>
      <c r="N5" s="17">
        <f>N6*(-1)</f>
        <v>57885.428571428565</v>
      </c>
      <c r="O5" s="17"/>
      <c r="P5" s="17"/>
      <c r="R5" s="32"/>
    </row>
    <row r="6" spans="1:18">
      <c r="A6" s="16" t="s">
        <v>488</v>
      </c>
      <c r="B6" s="17" t="s">
        <v>211</v>
      </c>
      <c r="C6" s="17">
        <f>'lokale energieproductie'!O91+'lokale energieproductie'!O60</f>
        <v>28942.714285714283</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-57885.428571428565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2258.9916300828245</v>
      </c>
      <c r="C8" s="21">
        <f>C5+C6</f>
        <v>28942.714285714283</v>
      </c>
      <c r="D8" s="21">
        <f>MAX((D5+D6),0)</f>
        <v>743.50482490148738</v>
      </c>
      <c r="E8" s="21">
        <f>MAX((E5+E6),0)</f>
        <v>66.398663764952744</v>
      </c>
      <c r="F8" s="21">
        <f>MAX((F5+F6),0)</f>
        <v>9410.8370614244996</v>
      </c>
      <c r="G8" s="21"/>
      <c r="H8" s="21"/>
      <c r="I8" s="21"/>
      <c r="J8" s="21">
        <f>MAX((J5+J6),0)</f>
        <v>327.27937479842922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3.2896645257868819E-2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74.313246295329506</v>
      </c>
      <c r="C12" s="23">
        <f ca="1">C8*C10</f>
        <v>0</v>
      </c>
      <c r="D12" s="23">
        <f>D8*D10</f>
        <v>150.18797463010046</v>
      </c>
      <c r="E12" s="23">
        <f>E8*E10</f>
        <v>15.072496674644274</v>
      </c>
      <c r="F12" s="23">
        <f>F8*F10</f>
        <v>2512.6934954003414</v>
      </c>
      <c r="G12" s="23"/>
      <c r="H12" s="23"/>
      <c r="I12" s="23"/>
      <c r="J12" s="23">
        <f>J8*J10</f>
        <v>115.85689867864393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0.3205579996788494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707.1265383439229</v>
      </c>
      <c r="C26" s="247">
        <f>B26*'GWP N2O_CH4'!B5</f>
        <v>14849.657305222381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191.36694400420893</v>
      </c>
      <c r="C27" s="247">
        <f>B27*'GWP N2O_CH4'!B5</f>
        <v>4018.7058240883875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8.2266052551644915</v>
      </c>
      <c r="C28" s="247">
        <f>B28*'GWP N2O_CH4'!B4</f>
        <v>2550.2476291009925</v>
      </c>
      <c r="D28" s="50"/>
    </row>
    <row r="29" spans="1:4">
      <c r="A29" s="41" t="s">
        <v>277</v>
      </c>
      <c r="B29" s="247">
        <f>B34*'ha_N2O bodem landbouw'!B4</f>
        <v>18.206087157380118</v>
      </c>
      <c r="C29" s="247">
        <f>B29*'GWP N2O_CH4'!B4</f>
        <v>5643.8870187878365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4.1545663483466364E-3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5.6190806466900736E-5</v>
      </c>
      <c r="C5" s="463" t="s">
        <v>211</v>
      </c>
      <c r="D5" s="448">
        <f>SUM(D6:D11)</f>
        <v>2.5651840163986488E-4</v>
      </c>
      <c r="E5" s="448">
        <f>SUM(E6:E11)</f>
        <v>3.3014615028019532E-4</v>
      </c>
      <c r="F5" s="461" t="s">
        <v>211</v>
      </c>
      <c r="G5" s="448">
        <f>SUM(G6:G11)</f>
        <v>9.8521012879472417E-2</v>
      </c>
      <c r="H5" s="448">
        <f>SUM(H6:H11)</f>
        <v>2.8530928657061087E-2</v>
      </c>
      <c r="I5" s="463" t="s">
        <v>211</v>
      </c>
      <c r="J5" s="463" t="s">
        <v>211</v>
      </c>
      <c r="K5" s="463" t="s">
        <v>211</v>
      </c>
      <c r="L5" s="463" t="s">
        <v>211</v>
      </c>
      <c r="M5" s="448">
        <f>SUM(M6:M11)</f>
        <v>6.6028683072065671E-3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1.848994928130978E-5</v>
      </c>
      <c r="C6" s="449"/>
      <c r="D6" s="962">
        <f>vkm_2011_GW_PW*SUMIFS(TableVerdeelsleutelVkm[CNG],TableVerdeelsleutelVkm[Voertuigtype],"Lichte voertuigen")*SUMIFS(TableECFTransport[EnergieConsumptieFactor (PJ per km)],TableECFTransport[Index],CONCATENATE($A6,"_CNG_CNG"))</f>
        <v>5.5459235578344022E-5</v>
      </c>
      <c r="E6" s="962">
        <f>vkm_2011_GW_PW*SUMIFS(TableVerdeelsleutelVkm[LPG],TableVerdeelsleutelVkm[Voertuigtype],"Lichte voertuigen")*SUMIFS(TableECFTransport[EnergieConsumptieFactor (PJ per km)],TableECFTransport[Index],CONCATENATE($A6,"_LPG_LPG"))</f>
        <v>7.5765282126610231E-5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1.9589428823426881E-2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6.3067466206111651E-3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1.3316864607209814E-3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8.9271130551514411E-3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2.7203267737999786E-6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5.2167084445871824E-4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3.7700857185590956E-5</v>
      </c>
      <c r="C8" s="449"/>
      <c r="D8" s="451">
        <f>vkm_2011_NGW_PW*SUMIFS(TableVerdeelsleutelVkm[CNG],TableVerdeelsleutelVkm[Voertuigtype],"Lichte voertuigen")*SUMIFS(TableECFTransport[EnergieConsumptieFactor (PJ per km)],TableECFTransport[Index],CONCATENATE($A8,"_CNG_CNG"))</f>
        <v>2.0105916606152089E-4</v>
      </c>
      <c r="E8" s="451">
        <f>vkm_2011_NGW_PW*SUMIFS(TableVerdeelsleutelVkm[LPG],TableVerdeelsleutelVkm[Voertuigtype],"Lichte voertuigen")*SUMIFS(TableECFTransport[EnergieConsumptieFactor (PJ per km)],TableECFTransport[Index],CONCATENATE($A8,"_LPG_LPG"))</f>
        <v>2.5438086815358506E-4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6.1291828599671055E-2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2.2218962283105988E-2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4.240377725494307E-3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8.7126424012230353E-3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2.4994265701344459E-6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5.0913327653256089E-4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15.608557351916872</v>
      </c>
      <c r="C14" s="21"/>
      <c r="D14" s="21">
        <f t="shared" ref="D14:M14" si="0">((D5)*10^9/3600)+D12</f>
        <v>71.255111566629125</v>
      </c>
      <c r="E14" s="21">
        <f t="shared" si="0"/>
        <v>91.70726396672093</v>
      </c>
      <c r="F14" s="21"/>
      <c r="G14" s="21">
        <f t="shared" si="0"/>
        <v>27366.94802207567</v>
      </c>
      <c r="H14" s="21">
        <f t="shared" si="0"/>
        <v>7925.2579602947462</v>
      </c>
      <c r="I14" s="21"/>
      <c r="J14" s="21"/>
      <c r="K14" s="21"/>
      <c r="L14" s="21"/>
      <c r="M14" s="21">
        <f t="shared" si="0"/>
        <v>1834.1300853351577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3.2896645257868819E-2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0.51346917419310967</v>
      </c>
      <c r="C18" s="23"/>
      <c r="D18" s="23">
        <f t="shared" ref="D18:M18" si="1">D14*D16</f>
        <v>14.393532536459084</v>
      </c>
      <c r="E18" s="23">
        <f t="shared" si="1"/>
        <v>20.817548920445653</v>
      </c>
      <c r="F18" s="23"/>
      <c r="G18" s="23">
        <f t="shared" si="1"/>
        <v>7306.9751218942047</v>
      </c>
      <c r="H18" s="23">
        <f t="shared" si="1"/>
        <v>1973.3892321133917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2.116533214786465E-3</v>
      </c>
      <c r="H50" s="321">
        <f t="shared" si="2"/>
        <v>0</v>
      </c>
      <c r="I50" s="321">
        <f t="shared" si="2"/>
        <v>0</v>
      </c>
      <c r="J50" s="321">
        <f t="shared" si="2"/>
        <v>0</v>
      </c>
      <c r="K50" s="321">
        <f t="shared" si="2"/>
        <v>0</v>
      </c>
      <c r="L50" s="321">
        <f t="shared" si="2"/>
        <v>0</v>
      </c>
      <c r="M50" s="321">
        <f t="shared" si="2"/>
        <v>1.2020974300232408E-4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2.116533214786465E-3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1.2020974300232408E-4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587.92589299624024</v>
      </c>
      <c r="H54" s="21">
        <f t="shared" si="3"/>
        <v>0</v>
      </c>
      <c r="I54" s="21">
        <f t="shared" si="3"/>
        <v>0</v>
      </c>
      <c r="J54" s="21">
        <f t="shared" si="3"/>
        <v>0</v>
      </c>
      <c r="K54" s="21">
        <f t="shared" si="3"/>
        <v>0</v>
      </c>
      <c r="L54" s="21">
        <f t="shared" si="3"/>
        <v>0</v>
      </c>
      <c r="M54" s="21">
        <f t="shared" si="3"/>
        <v>33.39159527842336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3.2896645257868819E-2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156.97621342999616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2156.9396860609481</v>
      </c>
      <c r="C6" s="1204"/>
      <c r="D6" s="1189"/>
      <c r="E6" s="1189"/>
      <c r="F6" s="1207"/>
      <c r="G6" s="1210"/>
      <c r="H6" s="1201"/>
      <c r="I6" s="1189"/>
      <c r="J6" s="1189"/>
      <c r="K6" s="1189"/>
      <c r="L6" s="1193"/>
      <c r="M6" s="575"/>
      <c r="N6" s="1167"/>
      <c r="O6" s="1168"/>
      <c r="Q6" s="573"/>
      <c r="R6" s="1155"/>
      <c r="S6" s="1155"/>
    </row>
    <row r="7" spans="1:19" s="563" customFormat="1">
      <c r="A7" s="576" t="s">
        <v>252</v>
      </c>
      <c r="B7" s="577">
        <f>N57</f>
        <v>20259.900000000001</v>
      </c>
      <c r="C7" s="578">
        <f>B100</f>
        <v>0</v>
      </c>
      <c r="D7" s="579"/>
      <c r="E7" s="579">
        <f>E100</f>
        <v>0</v>
      </c>
      <c r="F7" s="580"/>
      <c r="G7" s="581"/>
      <c r="H7" s="579">
        <f>I100</f>
        <v>0</v>
      </c>
      <c r="I7" s="579">
        <f>G100+F100</f>
        <v>0</v>
      </c>
      <c r="J7" s="579">
        <f>H100+D100+C100</f>
        <v>23835.176470588234</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22416.83968606095</v>
      </c>
      <c r="C9" s="594">
        <f t="shared" ref="C9:L9" si="0">SUM(C7:C8)</f>
        <v>0</v>
      </c>
      <c r="D9" s="594">
        <f t="shared" si="0"/>
        <v>0</v>
      </c>
      <c r="E9" s="594">
        <f t="shared" si="0"/>
        <v>0</v>
      </c>
      <c r="F9" s="594">
        <f t="shared" si="0"/>
        <v>0</v>
      </c>
      <c r="G9" s="594">
        <f t="shared" si="0"/>
        <v>0</v>
      </c>
      <c r="H9" s="594">
        <f t="shared" si="0"/>
        <v>0</v>
      </c>
      <c r="I9" s="594">
        <f t="shared" si="0"/>
        <v>0</v>
      </c>
      <c r="J9" s="594">
        <f t="shared" si="0"/>
        <v>23835.176470588234</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28942.714285714283</v>
      </c>
      <c r="C16" s="610">
        <f>B101</f>
        <v>0</v>
      </c>
      <c r="D16" s="611"/>
      <c r="E16" s="611">
        <f>E101</f>
        <v>0</v>
      </c>
      <c r="F16" s="612"/>
      <c r="G16" s="613"/>
      <c r="H16" s="610">
        <f>I101</f>
        <v>0</v>
      </c>
      <c r="I16" s="611">
        <f>G101+F101</f>
        <v>0</v>
      </c>
      <c r="J16" s="611">
        <f>H101+D101+C101</f>
        <v>34050.252100840327</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28942.714285714283</v>
      </c>
      <c r="C19" s="593">
        <f>SUM(C16:C18)</f>
        <v>0</v>
      </c>
      <c r="D19" s="593">
        <f t="shared" ref="D19:M19" si="1">SUM(D16:D18)</f>
        <v>0</v>
      </c>
      <c r="E19" s="593">
        <f t="shared" si="1"/>
        <v>0</v>
      </c>
      <c r="F19" s="593">
        <f t="shared" si="1"/>
        <v>0</v>
      </c>
      <c r="G19" s="593">
        <f t="shared" si="1"/>
        <v>0</v>
      </c>
      <c r="H19" s="593">
        <f t="shared" si="1"/>
        <v>0</v>
      </c>
      <c r="I19" s="593">
        <f t="shared" si="1"/>
        <v>0</v>
      </c>
      <c r="J19" s="593">
        <f t="shared" si="1"/>
        <v>34050.252100840327</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44080</v>
      </c>
      <c r="C27" s="851">
        <v>9930</v>
      </c>
      <c r="D27" s="672" t="s">
        <v>809</v>
      </c>
      <c r="E27" s="671" t="s">
        <v>810</v>
      </c>
      <c r="F27" s="671" t="s">
        <v>811</v>
      </c>
      <c r="G27" s="671" t="s">
        <v>812</v>
      </c>
      <c r="H27" s="671" t="s">
        <v>813</v>
      </c>
      <c r="I27" s="671" t="s">
        <v>810</v>
      </c>
      <c r="J27" s="850">
        <v>39702</v>
      </c>
      <c r="K27" s="850">
        <v>39373</v>
      </c>
      <c r="L27" s="671" t="s">
        <v>814</v>
      </c>
      <c r="M27" s="671">
        <v>1038</v>
      </c>
      <c r="N27" s="671">
        <v>4671</v>
      </c>
      <c r="O27" s="671">
        <v>6672.8571428571431</v>
      </c>
      <c r="P27" s="671">
        <v>0</v>
      </c>
      <c r="Q27" s="671">
        <v>13345.714285714286</v>
      </c>
      <c r="R27" s="671">
        <v>0</v>
      </c>
      <c r="S27" s="671">
        <v>0</v>
      </c>
      <c r="T27" s="671">
        <v>0</v>
      </c>
      <c r="U27" s="671">
        <v>0</v>
      </c>
      <c r="V27" s="671">
        <v>0</v>
      </c>
      <c r="W27" s="671">
        <v>0</v>
      </c>
      <c r="X27" s="671">
        <v>10</v>
      </c>
      <c r="Y27" s="671" t="s">
        <v>112</v>
      </c>
      <c r="Z27" s="673" t="s">
        <v>112</v>
      </c>
    </row>
    <row r="28" spans="1:26" s="625" customFormat="1" ht="25.5">
      <c r="A28" s="624"/>
      <c r="B28" s="851">
        <v>44080</v>
      </c>
      <c r="C28" s="851">
        <v>9930</v>
      </c>
      <c r="D28" s="672" t="s">
        <v>815</v>
      </c>
      <c r="E28" s="671" t="s">
        <v>816</v>
      </c>
      <c r="F28" s="671" t="s">
        <v>817</v>
      </c>
      <c r="G28" s="671" t="s">
        <v>812</v>
      </c>
      <c r="H28" s="671" t="s">
        <v>813</v>
      </c>
      <c r="I28" s="671" t="s">
        <v>816</v>
      </c>
      <c r="J28" s="850">
        <v>40744</v>
      </c>
      <c r="K28" s="850">
        <v>40192</v>
      </c>
      <c r="L28" s="671" t="s">
        <v>814</v>
      </c>
      <c r="M28" s="671">
        <v>2860</v>
      </c>
      <c r="N28" s="671">
        <v>12870</v>
      </c>
      <c r="O28" s="671">
        <v>18385.714285714286</v>
      </c>
      <c r="P28" s="671">
        <v>0</v>
      </c>
      <c r="Q28" s="671">
        <v>36771.428571428572</v>
      </c>
      <c r="R28" s="671">
        <v>0</v>
      </c>
      <c r="S28" s="671">
        <v>0</v>
      </c>
      <c r="T28" s="671">
        <v>0</v>
      </c>
      <c r="U28" s="671">
        <v>0</v>
      </c>
      <c r="V28" s="671">
        <v>0</v>
      </c>
      <c r="W28" s="671">
        <v>0</v>
      </c>
      <c r="X28" s="671">
        <v>10</v>
      </c>
      <c r="Y28" s="671" t="s">
        <v>112</v>
      </c>
      <c r="Z28" s="673" t="s">
        <v>112</v>
      </c>
    </row>
    <row r="29" spans="1:26" s="625" customFormat="1" ht="25.5">
      <c r="A29" s="624"/>
      <c r="B29" s="851">
        <v>44080</v>
      </c>
      <c r="C29" s="851">
        <v>9931</v>
      </c>
      <c r="D29" s="672" t="s">
        <v>818</v>
      </c>
      <c r="E29" s="671" t="s">
        <v>819</v>
      </c>
      <c r="F29" s="671" t="s">
        <v>820</v>
      </c>
      <c r="G29" s="671" t="s">
        <v>812</v>
      </c>
      <c r="H29" s="671" t="s">
        <v>813</v>
      </c>
      <c r="I29" s="671" t="s">
        <v>819</v>
      </c>
      <c r="J29" s="850">
        <v>41124</v>
      </c>
      <c r="K29" s="850">
        <v>41244</v>
      </c>
      <c r="L29" s="671" t="s">
        <v>814</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25.5">
      <c r="A30" s="624"/>
      <c r="B30" s="851">
        <v>44080</v>
      </c>
      <c r="C30" s="851">
        <v>9930</v>
      </c>
      <c r="D30" s="672" t="s">
        <v>809</v>
      </c>
      <c r="E30" s="671" t="s">
        <v>810</v>
      </c>
      <c r="F30" s="671" t="s">
        <v>821</v>
      </c>
      <c r="G30" s="671" t="s">
        <v>812</v>
      </c>
      <c r="H30" s="671" t="s">
        <v>813</v>
      </c>
      <c r="I30" s="671" t="s">
        <v>810</v>
      </c>
      <c r="J30" s="850">
        <v>42172</v>
      </c>
      <c r="K30" s="850">
        <v>42172</v>
      </c>
      <c r="L30" s="671" t="s">
        <v>814</v>
      </c>
      <c r="M30" s="671">
        <v>1189</v>
      </c>
      <c r="N30" s="671">
        <v>2675.25</v>
      </c>
      <c r="O30" s="671">
        <v>3821.7857142857142</v>
      </c>
      <c r="P30" s="671">
        <v>0</v>
      </c>
      <c r="Q30" s="671">
        <v>7643.5714285714294</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5096.7</v>
      </c>
      <c r="N57" s="629">
        <f>SUM(N27:N56)</f>
        <v>20259.900000000001</v>
      </c>
      <c r="O57" s="629">
        <f t="shared" ref="O57:W57" si="2">SUM(O27:O56)</f>
        <v>28942.714285714283</v>
      </c>
      <c r="P57" s="629">
        <f t="shared" si="2"/>
        <v>0</v>
      </c>
      <c r="Q57" s="629">
        <f t="shared" si="2"/>
        <v>57885.428571428565</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5096.7</v>
      </c>
      <c r="N60" s="634">
        <f t="shared" ref="N60:W60" si="4">SUMIF($Z$27:$Z$56,"landbouw",N27:N56)</f>
        <v>20259.900000000001</v>
      </c>
      <c r="O60" s="634">
        <f t="shared" si="4"/>
        <v>28942.714285714283</v>
      </c>
      <c r="P60" s="634">
        <f t="shared" si="4"/>
        <v>0</v>
      </c>
      <c r="Q60" s="634">
        <f t="shared" si="4"/>
        <v>57885.428571428565</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23835.176470588234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34050.252100840327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7171.5086778261266</v>
      </c>
      <c r="D10" s="718">
        <f ca="1">tertiair!C16</f>
        <v>0</v>
      </c>
      <c r="E10" s="718">
        <f ca="1">tertiair!D16</f>
        <v>7920.7005760900629</v>
      </c>
      <c r="F10" s="718">
        <f>tertiair!E16</f>
        <v>95.077228782019432</v>
      </c>
      <c r="G10" s="718">
        <f ca="1">tertiair!F16</f>
        <v>1172.4574903322143</v>
      </c>
      <c r="H10" s="718">
        <f>tertiair!G16</f>
        <v>0</v>
      </c>
      <c r="I10" s="718">
        <f>tertiair!H16</f>
        <v>0</v>
      </c>
      <c r="J10" s="718">
        <f>tertiair!I16</f>
        <v>0</v>
      </c>
      <c r="K10" s="718">
        <f>tertiair!J16</f>
        <v>2.2668107216868117E-2</v>
      </c>
      <c r="L10" s="718">
        <f>tertiair!K16</f>
        <v>0</v>
      </c>
      <c r="M10" s="718">
        <f ca="1">tertiair!L16</f>
        <v>0</v>
      </c>
      <c r="N10" s="718">
        <f>tertiair!M16</f>
        <v>0</v>
      </c>
      <c r="O10" s="718">
        <f ca="1">tertiair!N16</f>
        <v>896.88752521483957</v>
      </c>
      <c r="P10" s="718">
        <f>tertiair!O16</f>
        <v>4.6900000000000004</v>
      </c>
      <c r="Q10" s="719">
        <f>tertiair!P16</f>
        <v>19.066666666666666</v>
      </c>
      <c r="R10" s="721">
        <f ca="1">SUM(C10:Q10)</f>
        <v>17280.410833019145</v>
      </c>
      <c r="S10" s="67"/>
    </row>
    <row r="11" spans="1:19" s="474" customFormat="1">
      <c r="A11" s="870" t="s">
        <v>225</v>
      </c>
      <c r="B11" s="875"/>
      <c r="C11" s="718">
        <f>huishoudens!B8</f>
        <v>15152.591381664441</v>
      </c>
      <c r="D11" s="718">
        <f>huishoudens!C8</f>
        <v>0</v>
      </c>
      <c r="E11" s="718">
        <f>huishoudens!D8</f>
        <v>22645.165519941307</v>
      </c>
      <c r="F11" s="718">
        <f>huishoudens!E8</f>
        <v>3274.1534877338286</v>
      </c>
      <c r="G11" s="718">
        <f>huishoudens!F8</f>
        <v>21109.308927473998</v>
      </c>
      <c r="H11" s="718">
        <f>huishoudens!G8</f>
        <v>0</v>
      </c>
      <c r="I11" s="718">
        <f>huishoudens!H8</f>
        <v>0</v>
      </c>
      <c r="J11" s="718">
        <f>huishoudens!I8</f>
        <v>0</v>
      </c>
      <c r="K11" s="718">
        <f>huishoudens!J8</f>
        <v>1502.0899288173036</v>
      </c>
      <c r="L11" s="718">
        <f>huishoudens!K8</f>
        <v>0</v>
      </c>
      <c r="M11" s="718">
        <f>huishoudens!L8</f>
        <v>0</v>
      </c>
      <c r="N11" s="718">
        <f>huishoudens!M8</f>
        <v>0</v>
      </c>
      <c r="O11" s="718">
        <f>huishoudens!N8</f>
        <v>11643.273749715603</v>
      </c>
      <c r="P11" s="718">
        <f>huishoudens!O8</f>
        <v>251.69666666666669</v>
      </c>
      <c r="Q11" s="719">
        <f>huishoudens!P8</f>
        <v>705.4666666666667</v>
      </c>
      <c r="R11" s="721">
        <f>SUM(C11:Q11)</f>
        <v>76283.746328679801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1738.531098103176</v>
      </c>
      <c r="D13" s="718">
        <f>industrie!C18</f>
        <v>0</v>
      </c>
      <c r="E13" s="718">
        <f>industrie!D18</f>
        <v>1307.1418366103535</v>
      </c>
      <c r="F13" s="718">
        <f>industrie!E18</f>
        <v>276.91237543284973</v>
      </c>
      <c r="G13" s="718">
        <f>industrie!F18</f>
        <v>805.00184614920056</v>
      </c>
      <c r="H13" s="718">
        <f>industrie!G18</f>
        <v>0</v>
      </c>
      <c r="I13" s="718">
        <f>industrie!H18</f>
        <v>0</v>
      </c>
      <c r="J13" s="718">
        <f>industrie!I18</f>
        <v>0</v>
      </c>
      <c r="K13" s="718">
        <f>industrie!J18</f>
        <v>2.4242586304345175</v>
      </c>
      <c r="L13" s="718">
        <f>industrie!K18</f>
        <v>0</v>
      </c>
      <c r="M13" s="718">
        <f>industrie!L18</f>
        <v>0</v>
      </c>
      <c r="N13" s="718">
        <f>industrie!M18</f>
        <v>0</v>
      </c>
      <c r="O13" s="718">
        <f>industrie!N18</f>
        <v>436.4636363199844</v>
      </c>
      <c r="P13" s="718">
        <f>industrie!O18</f>
        <v>0</v>
      </c>
      <c r="Q13" s="719">
        <f>industrie!P18</f>
        <v>0</v>
      </c>
      <c r="R13" s="721">
        <f>SUM(C13:Q13)</f>
        <v>4566.4750512459987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24062.631157593743</v>
      </c>
      <c r="D15" s="723">
        <f t="shared" ref="D15:Q15" ca="1" si="0">SUM(D9:D14)</f>
        <v>0</v>
      </c>
      <c r="E15" s="723">
        <f t="shared" ca="1" si="0"/>
        <v>31873.007932641725</v>
      </c>
      <c r="F15" s="723">
        <f t="shared" si="0"/>
        <v>3646.1430919486979</v>
      </c>
      <c r="G15" s="723">
        <f t="shared" ca="1" si="0"/>
        <v>23086.768263955411</v>
      </c>
      <c r="H15" s="723">
        <f t="shared" si="0"/>
        <v>0</v>
      </c>
      <c r="I15" s="723">
        <f t="shared" si="0"/>
        <v>0</v>
      </c>
      <c r="J15" s="723">
        <f t="shared" si="0"/>
        <v>0</v>
      </c>
      <c r="K15" s="723">
        <f t="shared" si="0"/>
        <v>1504.5368555549549</v>
      </c>
      <c r="L15" s="723">
        <f t="shared" si="0"/>
        <v>0</v>
      </c>
      <c r="M15" s="723">
        <f t="shared" ca="1" si="0"/>
        <v>0</v>
      </c>
      <c r="N15" s="723">
        <f t="shared" si="0"/>
        <v>0</v>
      </c>
      <c r="O15" s="723">
        <f t="shared" ca="1" si="0"/>
        <v>12976.624911250427</v>
      </c>
      <c r="P15" s="723">
        <f t="shared" si="0"/>
        <v>256.38666666666671</v>
      </c>
      <c r="Q15" s="724">
        <f t="shared" si="0"/>
        <v>724.53333333333342</v>
      </c>
      <c r="R15" s="725">
        <f ca="1">SUM(R9:R14)</f>
        <v>98130.63221294494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587.92589299624024</v>
      </c>
      <c r="I18" s="718">
        <f>transport!H54</f>
        <v>0</v>
      </c>
      <c r="J18" s="718">
        <f>transport!I54</f>
        <v>0</v>
      </c>
      <c r="K18" s="718">
        <f>transport!J54</f>
        <v>0</v>
      </c>
      <c r="L18" s="718">
        <f>transport!K54</f>
        <v>0</v>
      </c>
      <c r="M18" s="718">
        <f>transport!L54</f>
        <v>0</v>
      </c>
      <c r="N18" s="718">
        <f>transport!M54</f>
        <v>33.39159527842336</v>
      </c>
      <c r="O18" s="718">
        <f>transport!N54</f>
        <v>0</v>
      </c>
      <c r="P18" s="718">
        <f>transport!O54</f>
        <v>0</v>
      </c>
      <c r="Q18" s="719">
        <f>transport!P54</f>
        <v>0</v>
      </c>
      <c r="R18" s="721">
        <f>SUM(C18:Q18)</f>
        <v>621.31748827466356</v>
      </c>
      <c r="S18" s="67"/>
    </row>
    <row r="19" spans="1:19" s="474" customFormat="1" ht="15" thickBot="1">
      <c r="A19" s="870" t="s">
        <v>307</v>
      </c>
      <c r="B19" s="875"/>
      <c r="C19" s="727">
        <f>transport!B14</f>
        <v>15.608557351916872</v>
      </c>
      <c r="D19" s="727">
        <f>transport!C14</f>
        <v>0</v>
      </c>
      <c r="E19" s="727">
        <f>transport!D14</f>
        <v>71.255111566629125</v>
      </c>
      <c r="F19" s="727">
        <f>transport!E14</f>
        <v>91.70726396672093</v>
      </c>
      <c r="G19" s="727">
        <f>transport!F14</f>
        <v>0</v>
      </c>
      <c r="H19" s="727">
        <f>transport!G14</f>
        <v>27366.94802207567</v>
      </c>
      <c r="I19" s="727">
        <f>transport!H14</f>
        <v>7925.2579602947462</v>
      </c>
      <c r="J19" s="727">
        <f>transport!I14</f>
        <v>0</v>
      </c>
      <c r="K19" s="727">
        <f>transport!J14</f>
        <v>0</v>
      </c>
      <c r="L19" s="727">
        <f>transport!K14</f>
        <v>0</v>
      </c>
      <c r="M19" s="727">
        <f>transport!L14</f>
        <v>0</v>
      </c>
      <c r="N19" s="727">
        <f>transport!M14</f>
        <v>1834.1300853351577</v>
      </c>
      <c r="O19" s="727">
        <f>transport!N14</f>
        <v>0</v>
      </c>
      <c r="P19" s="727">
        <f>transport!O14</f>
        <v>0</v>
      </c>
      <c r="Q19" s="728">
        <f>transport!P14</f>
        <v>0</v>
      </c>
      <c r="R19" s="729">
        <f>SUM(C19:Q19)</f>
        <v>37304.907000590843</v>
      </c>
      <c r="S19" s="67"/>
    </row>
    <row r="20" spans="1:19" s="474" customFormat="1" ht="15.75" thickBot="1">
      <c r="A20" s="730" t="s">
        <v>230</v>
      </c>
      <c r="B20" s="878"/>
      <c r="C20" s="873">
        <f>SUM(C17:C19)</f>
        <v>15.608557351916872</v>
      </c>
      <c r="D20" s="731">
        <f t="shared" ref="D20:R20" si="1">SUM(D17:D19)</f>
        <v>0</v>
      </c>
      <c r="E20" s="731">
        <f t="shared" si="1"/>
        <v>71.255111566629125</v>
      </c>
      <c r="F20" s="731">
        <f t="shared" si="1"/>
        <v>91.70726396672093</v>
      </c>
      <c r="G20" s="731">
        <f t="shared" si="1"/>
        <v>0</v>
      </c>
      <c r="H20" s="731">
        <f t="shared" si="1"/>
        <v>27954.873915071912</v>
      </c>
      <c r="I20" s="731">
        <f t="shared" si="1"/>
        <v>7925.2579602947462</v>
      </c>
      <c r="J20" s="731">
        <f t="shared" si="1"/>
        <v>0</v>
      </c>
      <c r="K20" s="731">
        <f t="shared" si="1"/>
        <v>0</v>
      </c>
      <c r="L20" s="731">
        <f t="shared" si="1"/>
        <v>0</v>
      </c>
      <c r="M20" s="731">
        <f t="shared" si="1"/>
        <v>0</v>
      </c>
      <c r="N20" s="731">
        <f t="shared" si="1"/>
        <v>1867.5216806135811</v>
      </c>
      <c r="O20" s="731">
        <f t="shared" si="1"/>
        <v>0</v>
      </c>
      <c r="P20" s="731">
        <f t="shared" si="1"/>
        <v>0</v>
      </c>
      <c r="Q20" s="732">
        <f t="shared" si="1"/>
        <v>0</v>
      </c>
      <c r="R20" s="733">
        <f t="shared" si="1"/>
        <v>37926.224488865504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2258.9916300828245</v>
      </c>
      <c r="D22" s="727">
        <f>+landbouw!C8</f>
        <v>28942.714285714283</v>
      </c>
      <c r="E22" s="727">
        <f>+landbouw!D8</f>
        <v>743.50482490148738</v>
      </c>
      <c r="F22" s="727">
        <f>+landbouw!E8</f>
        <v>66.398663764952744</v>
      </c>
      <c r="G22" s="727">
        <f>+landbouw!F8</f>
        <v>9410.8370614244996</v>
      </c>
      <c r="H22" s="727">
        <f>+landbouw!G8</f>
        <v>0</v>
      </c>
      <c r="I22" s="727">
        <f>+landbouw!H8</f>
        <v>0</v>
      </c>
      <c r="J22" s="727">
        <f>+landbouw!I8</f>
        <v>0</v>
      </c>
      <c r="K22" s="727">
        <f>+landbouw!J8</f>
        <v>327.27937479842922</v>
      </c>
      <c r="L22" s="727">
        <f>+landbouw!K8</f>
        <v>0</v>
      </c>
      <c r="M22" s="727">
        <f>+landbouw!L8</f>
        <v>0</v>
      </c>
      <c r="N22" s="727">
        <f>+landbouw!M8</f>
        <v>0</v>
      </c>
      <c r="O22" s="727">
        <f>+landbouw!N8</f>
        <v>0</v>
      </c>
      <c r="P22" s="727">
        <f>+landbouw!O8</f>
        <v>0</v>
      </c>
      <c r="Q22" s="728">
        <f>+landbouw!P8</f>
        <v>0</v>
      </c>
      <c r="R22" s="729">
        <f>SUM(C22:Q22)</f>
        <v>41749.725840686478</v>
      </c>
      <c r="S22" s="67"/>
    </row>
    <row r="23" spans="1:19" s="474" customFormat="1" ht="17.25" thickTop="1" thickBot="1">
      <c r="A23" s="734" t="s">
        <v>116</v>
      </c>
      <c r="B23" s="864"/>
      <c r="C23" s="735">
        <f ca="1">C20+C15+C22</f>
        <v>26337.231345028486</v>
      </c>
      <c r="D23" s="735">
        <f t="shared" ref="D23:Q23" ca="1" si="2">D20+D15+D22</f>
        <v>28942.714285714283</v>
      </c>
      <c r="E23" s="735">
        <f t="shared" ca="1" si="2"/>
        <v>32687.767869109841</v>
      </c>
      <c r="F23" s="735">
        <f t="shared" si="2"/>
        <v>3804.2490196803715</v>
      </c>
      <c r="G23" s="735">
        <f t="shared" ca="1" si="2"/>
        <v>32497.605325379911</v>
      </c>
      <c r="H23" s="735">
        <f t="shared" si="2"/>
        <v>27954.873915071912</v>
      </c>
      <c r="I23" s="735">
        <f t="shared" si="2"/>
        <v>7925.2579602947462</v>
      </c>
      <c r="J23" s="735">
        <f t="shared" si="2"/>
        <v>0</v>
      </c>
      <c r="K23" s="735">
        <f t="shared" si="2"/>
        <v>1831.8162303533841</v>
      </c>
      <c r="L23" s="735">
        <f t="shared" si="2"/>
        <v>0</v>
      </c>
      <c r="M23" s="735">
        <f t="shared" ca="1" si="2"/>
        <v>0</v>
      </c>
      <c r="N23" s="735">
        <f t="shared" si="2"/>
        <v>1867.5216806135811</v>
      </c>
      <c r="O23" s="735">
        <f t="shared" ca="1" si="2"/>
        <v>12976.624911250427</v>
      </c>
      <c r="P23" s="735">
        <f t="shared" si="2"/>
        <v>256.38666666666671</v>
      </c>
      <c r="Q23" s="736">
        <f t="shared" si="2"/>
        <v>724.53333333333342</v>
      </c>
      <c r="R23" s="737">
        <f ca="1">R20+R15+R22</f>
        <v>177806.58254249691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235.91857693817394</v>
      </c>
      <c r="D36" s="718">
        <f ca="1">tertiair!C20</f>
        <v>0</v>
      </c>
      <c r="E36" s="718">
        <f ca="1">tertiair!D20</f>
        <v>1599.9815163701928</v>
      </c>
      <c r="F36" s="718">
        <f>tertiair!E20</f>
        <v>21.582530933518413</v>
      </c>
      <c r="G36" s="718">
        <f ca="1">tertiair!F20</f>
        <v>313.04614991870125</v>
      </c>
      <c r="H36" s="718">
        <f>tertiair!G20</f>
        <v>0</v>
      </c>
      <c r="I36" s="718">
        <f>tertiair!H20</f>
        <v>0</v>
      </c>
      <c r="J36" s="718">
        <f>tertiair!I20</f>
        <v>0</v>
      </c>
      <c r="K36" s="718">
        <f>tertiair!J20</f>
        <v>8.0245099547713132E-3</v>
      </c>
      <c r="L36" s="718">
        <f>tertiair!K20</f>
        <v>0</v>
      </c>
      <c r="M36" s="718">
        <f ca="1">tertiair!L20</f>
        <v>0</v>
      </c>
      <c r="N36" s="718">
        <f>tertiair!M20</f>
        <v>0</v>
      </c>
      <c r="O36" s="718">
        <f ca="1">tertiair!N20</f>
        <v>0</v>
      </c>
      <c r="P36" s="718">
        <f>tertiair!O20</f>
        <v>0</v>
      </c>
      <c r="Q36" s="828">
        <f>tertiair!P20</f>
        <v>0</v>
      </c>
      <c r="R36" s="917">
        <f ca="1">SUM(C36:Q36)</f>
        <v>2170.536798670541</v>
      </c>
    </row>
    <row r="37" spans="1:18">
      <c r="A37" s="885" t="s">
        <v>225</v>
      </c>
      <c r="B37" s="892"/>
      <c r="C37" s="718">
        <f ca="1">huishoudens!B12</f>
        <v>498.46942342005548</v>
      </c>
      <c r="D37" s="718">
        <f ca="1">huishoudens!C12</f>
        <v>0</v>
      </c>
      <c r="E37" s="718">
        <f>huishoudens!D12</f>
        <v>4574.3234350281446</v>
      </c>
      <c r="F37" s="718">
        <f>huishoudens!E12</f>
        <v>743.23284171557907</v>
      </c>
      <c r="G37" s="718">
        <f>huishoudens!F12</f>
        <v>5636.1854836355578</v>
      </c>
      <c r="H37" s="718">
        <f>huishoudens!G12</f>
        <v>0</v>
      </c>
      <c r="I37" s="718">
        <f>huishoudens!H12</f>
        <v>0</v>
      </c>
      <c r="J37" s="718">
        <f>huishoudens!I12</f>
        <v>0</v>
      </c>
      <c r="K37" s="718">
        <f>huishoudens!J12</f>
        <v>531.73983480132551</v>
      </c>
      <c r="L37" s="718">
        <f>huishoudens!K12</f>
        <v>0</v>
      </c>
      <c r="M37" s="718">
        <f>huishoudens!L12</f>
        <v>0</v>
      </c>
      <c r="N37" s="718">
        <f>huishoudens!M12</f>
        <v>0</v>
      </c>
      <c r="O37" s="718">
        <f>huishoudens!N12</f>
        <v>0</v>
      </c>
      <c r="P37" s="718">
        <f>huishoudens!O12</f>
        <v>0</v>
      </c>
      <c r="Q37" s="828">
        <f>huishoudens!P12</f>
        <v>0</v>
      </c>
      <c r="R37" s="917">
        <f ca="1">SUM(C37:Q37)</f>
        <v>11983.951018600661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57.191840804073315</v>
      </c>
      <c r="D39" s="718">
        <f ca="1">industrie!C22</f>
        <v>0</v>
      </c>
      <c r="E39" s="718">
        <f>industrie!D22</f>
        <v>264.04265099529141</v>
      </c>
      <c r="F39" s="718">
        <f>industrie!E22</f>
        <v>62.859109223256887</v>
      </c>
      <c r="G39" s="718">
        <f>industrie!F22</f>
        <v>214.93549292183656</v>
      </c>
      <c r="H39" s="718">
        <f>industrie!G22</f>
        <v>0</v>
      </c>
      <c r="I39" s="718">
        <f>industrie!H22</f>
        <v>0</v>
      </c>
      <c r="J39" s="718">
        <f>industrie!I22</f>
        <v>0</v>
      </c>
      <c r="K39" s="718">
        <f>industrie!J22</f>
        <v>0.85818755517381917</v>
      </c>
      <c r="L39" s="718">
        <f>industrie!K22</f>
        <v>0</v>
      </c>
      <c r="M39" s="718">
        <f>industrie!L22</f>
        <v>0</v>
      </c>
      <c r="N39" s="718">
        <f>industrie!M22</f>
        <v>0</v>
      </c>
      <c r="O39" s="718">
        <f>industrie!N22</f>
        <v>0</v>
      </c>
      <c r="P39" s="718">
        <f>industrie!O22</f>
        <v>0</v>
      </c>
      <c r="Q39" s="828">
        <f>industrie!P22</f>
        <v>0</v>
      </c>
      <c r="R39" s="918">
        <f ca="1">SUM(C39:Q39)</f>
        <v>599.88728149963197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791.57984116230273</v>
      </c>
      <c r="D41" s="763">
        <f t="shared" ref="D41:R41" ca="1" si="4">SUM(D35:D40)</f>
        <v>0</v>
      </c>
      <c r="E41" s="763">
        <f t="shared" ca="1" si="4"/>
        <v>6438.3476023936282</v>
      </c>
      <c r="F41" s="763">
        <f t="shared" si="4"/>
        <v>827.67448187235436</v>
      </c>
      <c r="G41" s="763">
        <f t="shared" ca="1" si="4"/>
        <v>6164.1671264760953</v>
      </c>
      <c r="H41" s="763">
        <f t="shared" si="4"/>
        <v>0</v>
      </c>
      <c r="I41" s="763">
        <f t="shared" si="4"/>
        <v>0</v>
      </c>
      <c r="J41" s="763">
        <f t="shared" si="4"/>
        <v>0</v>
      </c>
      <c r="K41" s="763">
        <f t="shared" si="4"/>
        <v>532.60604686645411</v>
      </c>
      <c r="L41" s="763">
        <f t="shared" si="4"/>
        <v>0</v>
      </c>
      <c r="M41" s="763">
        <f t="shared" ca="1" si="4"/>
        <v>0</v>
      </c>
      <c r="N41" s="763">
        <f t="shared" si="4"/>
        <v>0</v>
      </c>
      <c r="O41" s="763">
        <f t="shared" ca="1" si="4"/>
        <v>0</v>
      </c>
      <c r="P41" s="763">
        <f t="shared" si="4"/>
        <v>0</v>
      </c>
      <c r="Q41" s="764">
        <f t="shared" si="4"/>
        <v>0</v>
      </c>
      <c r="R41" s="765">
        <f t="shared" ca="1" si="4"/>
        <v>14754.375098770834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156.97621342999616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156.97621342999616</v>
      </c>
    </row>
    <row r="45" spans="1:18" ht="15" thickBot="1">
      <c r="A45" s="888" t="s">
        <v>307</v>
      </c>
      <c r="B45" s="898"/>
      <c r="C45" s="727">
        <f ca="1">transport!B18</f>
        <v>0.51346917419310967</v>
      </c>
      <c r="D45" s="727">
        <f>transport!C18</f>
        <v>0</v>
      </c>
      <c r="E45" s="727">
        <f>transport!D18</f>
        <v>14.393532536459084</v>
      </c>
      <c r="F45" s="727">
        <f>transport!E18</f>
        <v>20.817548920445653</v>
      </c>
      <c r="G45" s="727">
        <f>transport!F18</f>
        <v>0</v>
      </c>
      <c r="H45" s="727">
        <f>transport!G18</f>
        <v>7306.9751218942047</v>
      </c>
      <c r="I45" s="727">
        <f>transport!H18</f>
        <v>1973.3892321133917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9316.0889046386947</v>
      </c>
    </row>
    <row r="46" spans="1:18" ht="15.75" thickBot="1">
      <c r="A46" s="886" t="s">
        <v>230</v>
      </c>
      <c r="B46" s="899"/>
      <c r="C46" s="763">
        <f t="shared" ref="C46:R46" ca="1" si="5">SUM(C43:C45)</f>
        <v>0.51346917419310967</v>
      </c>
      <c r="D46" s="763">
        <f t="shared" ca="1" si="5"/>
        <v>0</v>
      </c>
      <c r="E46" s="763">
        <f t="shared" si="5"/>
        <v>14.393532536459084</v>
      </c>
      <c r="F46" s="763">
        <f t="shared" si="5"/>
        <v>20.817548920445653</v>
      </c>
      <c r="G46" s="763">
        <f t="shared" si="5"/>
        <v>0</v>
      </c>
      <c r="H46" s="763">
        <f t="shared" si="5"/>
        <v>7463.951335324201</v>
      </c>
      <c r="I46" s="763">
        <f t="shared" si="5"/>
        <v>1973.3892321133917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9473.0651180686909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74.313246295329506</v>
      </c>
      <c r="D48" s="718">
        <f ca="1">+landbouw!C12</f>
        <v>0</v>
      </c>
      <c r="E48" s="718">
        <f>+landbouw!D12</f>
        <v>150.18797463010046</v>
      </c>
      <c r="F48" s="718">
        <f>+landbouw!E12</f>
        <v>15.072496674644274</v>
      </c>
      <c r="G48" s="718">
        <f>+landbouw!F12</f>
        <v>2512.6934954003414</v>
      </c>
      <c r="H48" s="718">
        <f>+landbouw!G12</f>
        <v>0</v>
      </c>
      <c r="I48" s="718">
        <f>+landbouw!H12</f>
        <v>0</v>
      </c>
      <c r="J48" s="718">
        <f>+landbouw!I12</f>
        <v>0</v>
      </c>
      <c r="K48" s="718">
        <f>+landbouw!J12</f>
        <v>115.85689867864393</v>
      </c>
      <c r="L48" s="718">
        <f>+landbouw!K12</f>
        <v>0</v>
      </c>
      <c r="M48" s="718">
        <f>+landbouw!L12</f>
        <v>0</v>
      </c>
      <c r="N48" s="718">
        <f>+landbouw!M12</f>
        <v>0</v>
      </c>
      <c r="O48" s="718">
        <f>+landbouw!N12</f>
        <v>0</v>
      </c>
      <c r="P48" s="718">
        <f>+landbouw!O12</f>
        <v>0</v>
      </c>
      <c r="Q48" s="719">
        <f>+landbouw!P12</f>
        <v>0</v>
      </c>
      <c r="R48" s="761">
        <f ca="1">SUM(C48:Q48)</f>
        <v>2868.1241116790598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866.40655663182531</v>
      </c>
      <c r="D53" s="773">
        <f t="shared" ref="D53:Q53" ca="1" si="6">D41+D46+D48</f>
        <v>0</v>
      </c>
      <c r="E53" s="773">
        <f t="shared" ca="1" si="6"/>
        <v>6602.9291095601875</v>
      </c>
      <c r="F53" s="773">
        <f t="shared" si="6"/>
        <v>863.56452746744435</v>
      </c>
      <c r="G53" s="773">
        <f t="shared" ca="1" si="6"/>
        <v>8676.8606218764362</v>
      </c>
      <c r="H53" s="773">
        <f t="shared" si="6"/>
        <v>7463.951335324201</v>
      </c>
      <c r="I53" s="773">
        <f t="shared" si="6"/>
        <v>1973.3892321133917</v>
      </c>
      <c r="J53" s="773">
        <f t="shared" si="6"/>
        <v>0</v>
      </c>
      <c r="K53" s="773">
        <f t="shared" si="6"/>
        <v>648.46294554509802</v>
      </c>
      <c r="L53" s="773">
        <f t="shared" si="6"/>
        <v>0</v>
      </c>
      <c r="M53" s="773">
        <f t="shared" ca="1" si="6"/>
        <v>0</v>
      </c>
      <c r="N53" s="773">
        <f t="shared" si="6"/>
        <v>0</v>
      </c>
      <c r="O53" s="773">
        <f t="shared" ca="1" si="6"/>
        <v>0</v>
      </c>
      <c r="P53" s="773">
        <f>P41+P46+P48</f>
        <v>0</v>
      </c>
      <c r="Q53" s="774">
        <f t="shared" si="6"/>
        <v>0</v>
      </c>
      <c r="R53" s="775">
        <f ca="1">R41+R46+R48</f>
        <v>27095.564328518583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3.2896645257868819E-2</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2156.9396860609481</v>
      </c>
      <c r="C66" s="795">
        <f>'lokale energieproductie'!B6</f>
        <v>2156.9396860609481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20259.900000000001</v>
      </c>
      <c r="C67" s="794">
        <f>B67*IFERROR(SUM(J67:L67)/SUM(D67:M67),0)</f>
        <v>20259.900000000001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23835.176470588234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22416.83968606095</v>
      </c>
      <c r="C69" s="803">
        <f>SUM(C64:C68)</f>
        <v>22416.83968606095</v>
      </c>
      <c r="D69" s="804">
        <f t="shared" ref="D69:M69" si="8">SUM(D67:D68)</f>
        <v>0</v>
      </c>
      <c r="E69" s="804">
        <f t="shared" si="8"/>
        <v>0</v>
      </c>
      <c r="F69" s="804">
        <f t="shared" si="8"/>
        <v>0</v>
      </c>
      <c r="G69" s="804">
        <f t="shared" si="8"/>
        <v>0</v>
      </c>
      <c r="H69" s="804">
        <f t="shared" si="8"/>
        <v>0</v>
      </c>
      <c r="I69" s="804">
        <f t="shared" si="8"/>
        <v>0</v>
      </c>
      <c r="J69" s="804">
        <f t="shared" si="8"/>
        <v>0</v>
      </c>
      <c r="K69" s="804">
        <f t="shared" si="8"/>
        <v>23835.176470588234</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28942.714285714283</v>
      </c>
      <c r="C78" s="817">
        <f>B78*IFERROR(SUM(I78:L78)/SUM(D78:M78),0)</f>
        <v>28942.714285714283</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34050.252100840327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28942.714285714283</v>
      </c>
      <c r="C81" s="803">
        <f>SUM(C78:C80)</f>
        <v>28942.714285714283</v>
      </c>
      <c r="D81" s="803">
        <f t="shared" ref="D81:P81" si="9">SUM(D78:D80)</f>
        <v>0</v>
      </c>
      <c r="E81" s="803">
        <f t="shared" si="9"/>
        <v>0</v>
      </c>
      <c r="F81" s="803">
        <f t="shared" si="9"/>
        <v>0</v>
      </c>
      <c r="G81" s="803">
        <f t="shared" si="9"/>
        <v>0</v>
      </c>
      <c r="H81" s="803">
        <f t="shared" si="9"/>
        <v>0</v>
      </c>
      <c r="I81" s="803">
        <f t="shared" si="9"/>
        <v>0</v>
      </c>
      <c r="J81" s="803">
        <f t="shared" si="9"/>
        <v>0</v>
      </c>
      <c r="K81" s="803">
        <f t="shared" si="9"/>
        <v>34050.252100840327</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15152.591381664441</v>
      </c>
      <c r="C4" s="478">
        <f>huishoudens!C8</f>
        <v>0</v>
      </c>
      <c r="D4" s="478">
        <f>huishoudens!D8</f>
        <v>22645.165519941307</v>
      </c>
      <c r="E4" s="478">
        <f>huishoudens!E8</f>
        <v>3274.1534877338286</v>
      </c>
      <c r="F4" s="478">
        <f>huishoudens!F8</f>
        <v>21109.308927473998</v>
      </c>
      <c r="G4" s="478">
        <f>huishoudens!G8</f>
        <v>0</v>
      </c>
      <c r="H4" s="478">
        <f>huishoudens!H8</f>
        <v>0</v>
      </c>
      <c r="I4" s="478">
        <f>huishoudens!I8</f>
        <v>0</v>
      </c>
      <c r="J4" s="478">
        <f>huishoudens!J8</f>
        <v>1502.0899288173036</v>
      </c>
      <c r="K4" s="478">
        <f>huishoudens!K8</f>
        <v>0</v>
      </c>
      <c r="L4" s="478">
        <f>huishoudens!L8</f>
        <v>0</v>
      </c>
      <c r="M4" s="478">
        <f>huishoudens!M8</f>
        <v>0</v>
      </c>
      <c r="N4" s="478">
        <f>huishoudens!N8</f>
        <v>11643.273749715603</v>
      </c>
      <c r="O4" s="478">
        <f>huishoudens!O8</f>
        <v>251.69666666666669</v>
      </c>
      <c r="P4" s="479">
        <f>huishoudens!P8</f>
        <v>705.4666666666667</v>
      </c>
      <c r="Q4" s="480">
        <f>SUM(B4:P4)</f>
        <v>76283.746328679801</v>
      </c>
    </row>
    <row r="5" spans="1:17">
      <c r="A5" s="477" t="s">
        <v>156</v>
      </c>
      <c r="B5" s="478">
        <f ca="1">tertiair!B16</f>
        <v>6505.9196778261266</v>
      </c>
      <c r="C5" s="478">
        <f ca="1">tertiair!C16</f>
        <v>0</v>
      </c>
      <c r="D5" s="478">
        <f ca="1">tertiair!D16</f>
        <v>7920.7005760900629</v>
      </c>
      <c r="E5" s="478">
        <f>tertiair!E16</f>
        <v>95.077228782019432</v>
      </c>
      <c r="F5" s="478">
        <f ca="1">tertiair!F16</f>
        <v>1172.4574903322143</v>
      </c>
      <c r="G5" s="478">
        <f>tertiair!G16</f>
        <v>0</v>
      </c>
      <c r="H5" s="478">
        <f>tertiair!H16</f>
        <v>0</v>
      </c>
      <c r="I5" s="478">
        <f>tertiair!I16</f>
        <v>0</v>
      </c>
      <c r="J5" s="478">
        <f>tertiair!J16</f>
        <v>2.2668107216868117E-2</v>
      </c>
      <c r="K5" s="478">
        <f>tertiair!K16</f>
        <v>0</v>
      </c>
      <c r="L5" s="478">
        <f ca="1">tertiair!L16</f>
        <v>0</v>
      </c>
      <c r="M5" s="478">
        <f>tertiair!M16</f>
        <v>0</v>
      </c>
      <c r="N5" s="478">
        <f ca="1">tertiair!N16</f>
        <v>896.88752521483957</v>
      </c>
      <c r="O5" s="478">
        <f>tertiair!O16</f>
        <v>4.6900000000000004</v>
      </c>
      <c r="P5" s="479">
        <f>tertiair!P16</f>
        <v>19.066666666666666</v>
      </c>
      <c r="Q5" s="477">
        <f t="shared" ref="Q5:Q13" ca="1" si="0">SUM(B5:P5)</f>
        <v>16614.821833019145</v>
      </c>
    </row>
    <row r="6" spans="1:17">
      <c r="A6" s="477" t="s">
        <v>194</v>
      </c>
      <c r="B6" s="478">
        <f>'openbare verlichting'!B8</f>
        <v>665.58900000000006</v>
      </c>
      <c r="C6" s="478"/>
      <c r="D6" s="478"/>
      <c r="E6" s="478"/>
      <c r="F6" s="478"/>
      <c r="G6" s="478"/>
      <c r="H6" s="478"/>
      <c r="I6" s="478"/>
      <c r="J6" s="478"/>
      <c r="K6" s="478"/>
      <c r="L6" s="478"/>
      <c r="M6" s="478"/>
      <c r="N6" s="478"/>
      <c r="O6" s="478"/>
      <c r="P6" s="479"/>
      <c r="Q6" s="477">
        <f t="shared" si="0"/>
        <v>665.58900000000006</v>
      </c>
    </row>
    <row r="7" spans="1:17">
      <c r="A7" s="477" t="s">
        <v>112</v>
      </c>
      <c r="B7" s="478">
        <f>landbouw!B8</f>
        <v>2258.9916300828245</v>
      </c>
      <c r="C7" s="478">
        <f>landbouw!C8</f>
        <v>28942.714285714283</v>
      </c>
      <c r="D7" s="478">
        <f>landbouw!D8</f>
        <v>743.50482490148738</v>
      </c>
      <c r="E7" s="478">
        <f>landbouw!E8</f>
        <v>66.398663764952744</v>
      </c>
      <c r="F7" s="478">
        <f>landbouw!F8</f>
        <v>9410.8370614244996</v>
      </c>
      <c r="G7" s="478">
        <f>landbouw!G8</f>
        <v>0</v>
      </c>
      <c r="H7" s="478">
        <f>landbouw!H8</f>
        <v>0</v>
      </c>
      <c r="I7" s="478">
        <f>landbouw!I8</f>
        <v>0</v>
      </c>
      <c r="J7" s="478">
        <f>landbouw!J8</f>
        <v>327.27937479842922</v>
      </c>
      <c r="K7" s="478">
        <f>landbouw!K8</f>
        <v>0</v>
      </c>
      <c r="L7" s="478">
        <f>landbouw!L8</f>
        <v>0</v>
      </c>
      <c r="M7" s="478">
        <f>landbouw!M8</f>
        <v>0</v>
      </c>
      <c r="N7" s="478">
        <f>landbouw!N8</f>
        <v>0</v>
      </c>
      <c r="O7" s="478">
        <f>landbouw!O8</f>
        <v>0</v>
      </c>
      <c r="P7" s="479">
        <f>landbouw!P8</f>
        <v>0</v>
      </c>
      <c r="Q7" s="477">
        <f t="shared" si="0"/>
        <v>41749.725840686478</v>
      </c>
    </row>
    <row r="8" spans="1:17">
      <c r="A8" s="477" t="s">
        <v>635</v>
      </c>
      <c r="B8" s="478">
        <f>industrie!B18</f>
        <v>1738.531098103176</v>
      </c>
      <c r="C8" s="478">
        <f>industrie!C18</f>
        <v>0</v>
      </c>
      <c r="D8" s="478">
        <f>industrie!D18</f>
        <v>1307.1418366103535</v>
      </c>
      <c r="E8" s="478">
        <f>industrie!E18</f>
        <v>276.91237543284973</v>
      </c>
      <c r="F8" s="478">
        <f>industrie!F18</f>
        <v>805.00184614920056</v>
      </c>
      <c r="G8" s="478">
        <f>industrie!G18</f>
        <v>0</v>
      </c>
      <c r="H8" s="478">
        <f>industrie!H18</f>
        <v>0</v>
      </c>
      <c r="I8" s="478">
        <f>industrie!I18</f>
        <v>0</v>
      </c>
      <c r="J8" s="478">
        <f>industrie!J18</f>
        <v>2.4242586304345175</v>
      </c>
      <c r="K8" s="478">
        <f>industrie!K18</f>
        <v>0</v>
      </c>
      <c r="L8" s="478">
        <f>industrie!L18</f>
        <v>0</v>
      </c>
      <c r="M8" s="478">
        <f>industrie!M18</f>
        <v>0</v>
      </c>
      <c r="N8" s="478">
        <f>industrie!N18</f>
        <v>436.4636363199844</v>
      </c>
      <c r="O8" s="478">
        <f>industrie!O18</f>
        <v>0</v>
      </c>
      <c r="P8" s="479">
        <f>industrie!P18</f>
        <v>0</v>
      </c>
      <c r="Q8" s="477">
        <f t="shared" si="0"/>
        <v>4566.4750512459987</v>
      </c>
    </row>
    <row r="9" spans="1:17" s="483" customFormat="1">
      <c r="A9" s="481" t="s">
        <v>561</v>
      </c>
      <c r="B9" s="482">
        <f>transport!B14</f>
        <v>15.608557351916872</v>
      </c>
      <c r="C9" s="482">
        <f>transport!C14</f>
        <v>0</v>
      </c>
      <c r="D9" s="482">
        <f>transport!D14</f>
        <v>71.255111566629125</v>
      </c>
      <c r="E9" s="482">
        <f>transport!E14</f>
        <v>91.70726396672093</v>
      </c>
      <c r="F9" s="482">
        <f>transport!F14</f>
        <v>0</v>
      </c>
      <c r="G9" s="482">
        <f>transport!G14</f>
        <v>27366.94802207567</v>
      </c>
      <c r="H9" s="482">
        <f>transport!H14</f>
        <v>7925.2579602947462</v>
      </c>
      <c r="I9" s="482">
        <f>transport!I14</f>
        <v>0</v>
      </c>
      <c r="J9" s="482">
        <f>transport!J14</f>
        <v>0</v>
      </c>
      <c r="K9" s="482">
        <f>transport!K14</f>
        <v>0</v>
      </c>
      <c r="L9" s="482">
        <f>transport!L14</f>
        <v>0</v>
      </c>
      <c r="M9" s="482">
        <f>transport!M14</f>
        <v>1834.1300853351577</v>
      </c>
      <c r="N9" s="482">
        <f>transport!N14</f>
        <v>0</v>
      </c>
      <c r="O9" s="482">
        <f>transport!O14</f>
        <v>0</v>
      </c>
      <c r="P9" s="482">
        <f>transport!P14</f>
        <v>0</v>
      </c>
      <c r="Q9" s="481">
        <f>SUM(B9:P9)</f>
        <v>37304.907000590843</v>
      </c>
    </row>
    <row r="10" spans="1:17">
      <c r="A10" s="477" t="s">
        <v>551</v>
      </c>
      <c r="B10" s="478">
        <f>transport!B54</f>
        <v>0</v>
      </c>
      <c r="C10" s="478">
        <f>transport!C54</f>
        <v>0</v>
      </c>
      <c r="D10" s="478">
        <f>transport!D54</f>
        <v>0</v>
      </c>
      <c r="E10" s="478">
        <f>transport!E54</f>
        <v>0</v>
      </c>
      <c r="F10" s="478">
        <f>transport!F54</f>
        <v>0</v>
      </c>
      <c r="G10" s="478">
        <f>transport!G54</f>
        <v>587.92589299624024</v>
      </c>
      <c r="H10" s="478">
        <f>transport!H54</f>
        <v>0</v>
      </c>
      <c r="I10" s="478">
        <f>transport!I54</f>
        <v>0</v>
      </c>
      <c r="J10" s="478">
        <f>transport!J54</f>
        <v>0</v>
      </c>
      <c r="K10" s="478">
        <f>transport!K54</f>
        <v>0</v>
      </c>
      <c r="L10" s="478">
        <f>transport!L54</f>
        <v>0</v>
      </c>
      <c r="M10" s="478">
        <f>transport!M54</f>
        <v>33.39159527842336</v>
      </c>
      <c r="N10" s="478">
        <f>transport!N54</f>
        <v>0</v>
      </c>
      <c r="O10" s="478">
        <f>transport!O54</f>
        <v>0</v>
      </c>
      <c r="P10" s="479">
        <f>transport!P54</f>
        <v>0</v>
      </c>
      <c r="Q10" s="477">
        <f t="shared" si="0"/>
        <v>621.31748827466356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26337.231345028482</v>
      </c>
      <c r="C14" s="488">
        <f t="shared" ref="C14:Q14" ca="1" si="1">SUM(C4:C13)</f>
        <v>28942.714285714283</v>
      </c>
      <c r="D14" s="488">
        <f t="shared" ca="1" si="1"/>
        <v>32687.767869109841</v>
      </c>
      <c r="E14" s="488">
        <f t="shared" si="1"/>
        <v>3804.2490196803715</v>
      </c>
      <c r="F14" s="488">
        <f t="shared" ca="1" si="1"/>
        <v>32497.605325379911</v>
      </c>
      <c r="G14" s="488">
        <f t="shared" si="1"/>
        <v>27954.873915071912</v>
      </c>
      <c r="H14" s="488">
        <f t="shared" si="1"/>
        <v>7925.2579602947462</v>
      </c>
      <c r="I14" s="488">
        <f t="shared" si="1"/>
        <v>0</v>
      </c>
      <c r="J14" s="488">
        <f t="shared" si="1"/>
        <v>1831.8162303533841</v>
      </c>
      <c r="K14" s="488">
        <f t="shared" si="1"/>
        <v>0</v>
      </c>
      <c r="L14" s="488">
        <f t="shared" ca="1" si="1"/>
        <v>0</v>
      </c>
      <c r="M14" s="488">
        <f t="shared" si="1"/>
        <v>1867.5216806135811</v>
      </c>
      <c r="N14" s="488">
        <f t="shared" ca="1" si="1"/>
        <v>12976.624911250427</v>
      </c>
      <c r="O14" s="488">
        <f t="shared" si="1"/>
        <v>256.38666666666671</v>
      </c>
      <c r="P14" s="489">
        <f t="shared" si="1"/>
        <v>724.53333333333342</v>
      </c>
      <c r="Q14" s="489">
        <f t="shared" ca="1" si="1"/>
        <v>177806.58254249694</v>
      </c>
    </row>
    <row r="16" spans="1:17">
      <c r="A16" s="491" t="s">
        <v>556</v>
      </c>
      <c r="B16" s="841">
        <f ca="1">huishoudens!B10</f>
        <v>3.2896645257868819E-2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498.46942342005548</v>
      </c>
      <c r="C21" s="478">
        <f t="shared" ref="C21:C30" ca="1" si="3">C4*$C$16</f>
        <v>0</v>
      </c>
      <c r="D21" s="478">
        <f t="shared" ref="D21:D30" si="4">D4*$D$16</f>
        <v>4574.3234350281446</v>
      </c>
      <c r="E21" s="478">
        <f t="shared" ref="E21:E30" si="5">E4*$E$16</f>
        <v>743.23284171557907</v>
      </c>
      <c r="F21" s="478">
        <f t="shared" ref="F21:F30" si="6">F4*$F$16</f>
        <v>5636.1854836355578</v>
      </c>
      <c r="G21" s="478">
        <f t="shared" ref="G21:G30" si="7">G4*$G$16</f>
        <v>0</v>
      </c>
      <c r="H21" s="478">
        <f t="shared" ref="H21:H30" si="8">H4*$H$16</f>
        <v>0</v>
      </c>
      <c r="I21" s="478">
        <f t="shared" ref="I21:I30" si="9">I4*$I$16</f>
        <v>0</v>
      </c>
      <c r="J21" s="478">
        <f t="shared" ref="J21:J30" si="10">J4*$J$16</f>
        <v>531.73983480132551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11983.951018600661</v>
      </c>
    </row>
    <row r="22" spans="1:17">
      <c r="A22" s="477" t="s">
        <v>156</v>
      </c>
      <c r="B22" s="478">
        <f t="shared" ca="1" si="2"/>
        <v>214.02293171763429</v>
      </c>
      <c r="C22" s="478">
        <f t="shared" ca="1" si="3"/>
        <v>0</v>
      </c>
      <c r="D22" s="478">
        <f t="shared" ca="1" si="4"/>
        <v>1599.9815163701928</v>
      </c>
      <c r="E22" s="478">
        <f t="shared" si="5"/>
        <v>21.582530933518413</v>
      </c>
      <c r="F22" s="478">
        <f t="shared" ca="1" si="6"/>
        <v>313.04614991870125</v>
      </c>
      <c r="G22" s="478">
        <f t="shared" si="7"/>
        <v>0</v>
      </c>
      <c r="H22" s="478">
        <f t="shared" si="8"/>
        <v>0</v>
      </c>
      <c r="I22" s="478">
        <f t="shared" si="9"/>
        <v>0</v>
      </c>
      <c r="J22" s="478">
        <f t="shared" si="10"/>
        <v>8.0245099547713132E-3</v>
      </c>
      <c r="K22" s="478">
        <f t="shared" si="11"/>
        <v>0</v>
      </c>
      <c r="L22" s="478">
        <f t="shared" ca="1" si="12"/>
        <v>0</v>
      </c>
      <c r="M22" s="478">
        <f t="shared" si="13"/>
        <v>0</v>
      </c>
      <c r="N22" s="478">
        <f t="shared" ca="1" si="14"/>
        <v>0</v>
      </c>
      <c r="O22" s="478">
        <f t="shared" si="15"/>
        <v>0</v>
      </c>
      <c r="P22" s="479">
        <f t="shared" si="16"/>
        <v>0</v>
      </c>
      <c r="Q22" s="477">
        <f t="shared" ref="Q22:Q30" ca="1" si="17">SUM(B22:P22)</f>
        <v>2148.6411534500016</v>
      </c>
    </row>
    <row r="23" spans="1:17">
      <c r="A23" s="477" t="s">
        <v>194</v>
      </c>
      <c r="B23" s="478">
        <f t="shared" ca="1" si="2"/>
        <v>21.895645220539652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21.895645220539652</v>
      </c>
    </row>
    <row r="24" spans="1:17">
      <c r="A24" s="477" t="s">
        <v>112</v>
      </c>
      <c r="B24" s="478">
        <f t="shared" ca="1" si="2"/>
        <v>74.313246295329506</v>
      </c>
      <c r="C24" s="478">
        <f t="shared" ca="1" si="3"/>
        <v>0</v>
      </c>
      <c r="D24" s="478">
        <f t="shared" si="4"/>
        <v>150.18797463010046</v>
      </c>
      <c r="E24" s="478">
        <f t="shared" si="5"/>
        <v>15.072496674644274</v>
      </c>
      <c r="F24" s="478">
        <f t="shared" si="6"/>
        <v>2512.6934954003414</v>
      </c>
      <c r="G24" s="478">
        <f t="shared" si="7"/>
        <v>0</v>
      </c>
      <c r="H24" s="478">
        <f t="shared" si="8"/>
        <v>0</v>
      </c>
      <c r="I24" s="478">
        <f t="shared" si="9"/>
        <v>0</v>
      </c>
      <c r="J24" s="478">
        <f t="shared" si="10"/>
        <v>115.85689867864393</v>
      </c>
      <c r="K24" s="478">
        <f t="shared" si="11"/>
        <v>0</v>
      </c>
      <c r="L24" s="478">
        <f t="shared" si="12"/>
        <v>0</v>
      </c>
      <c r="M24" s="478">
        <f t="shared" si="13"/>
        <v>0</v>
      </c>
      <c r="N24" s="478">
        <f t="shared" si="14"/>
        <v>0</v>
      </c>
      <c r="O24" s="478">
        <f t="shared" si="15"/>
        <v>0</v>
      </c>
      <c r="P24" s="479">
        <f t="shared" si="16"/>
        <v>0</v>
      </c>
      <c r="Q24" s="477">
        <f t="shared" ca="1" si="17"/>
        <v>2868.1241116790598</v>
      </c>
    </row>
    <row r="25" spans="1:17">
      <c r="A25" s="477" t="s">
        <v>635</v>
      </c>
      <c r="B25" s="478">
        <f t="shared" ca="1" si="2"/>
        <v>57.191840804073315</v>
      </c>
      <c r="C25" s="478">
        <f t="shared" ca="1" si="3"/>
        <v>0</v>
      </c>
      <c r="D25" s="478">
        <f t="shared" si="4"/>
        <v>264.04265099529141</v>
      </c>
      <c r="E25" s="478">
        <f t="shared" si="5"/>
        <v>62.859109223256887</v>
      </c>
      <c r="F25" s="478">
        <f t="shared" si="6"/>
        <v>214.93549292183656</v>
      </c>
      <c r="G25" s="478">
        <f t="shared" si="7"/>
        <v>0</v>
      </c>
      <c r="H25" s="478">
        <f t="shared" si="8"/>
        <v>0</v>
      </c>
      <c r="I25" s="478">
        <f t="shared" si="9"/>
        <v>0</v>
      </c>
      <c r="J25" s="478">
        <f t="shared" si="10"/>
        <v>0.85818755517381917</v>
      </c>
      <c r="K25" s="478">
        <f t="shared" si="11"/>
        <v>0</v>
      </c>
      <c r="L25" s="478">
        <f t="shared" si="12"/>
        <v>0</v>
      </c>
      <c r="M25" s="478">
        <f t="shared" si="13"/>
        <v>0</v>
      </c>
      <c r="N25" s="478">
        <f t="shared" si="14"/>
        <v>0</v>
      </c>
      <c r="O25" s="478">
        <f t="shared" si="15"/>
        <v>0</v>
      </c>
      <c r="P25" s="479">
        <f t="shared" si="16"/>
        <v>0</v>
      </c>
      <c r="Q25" s="477">
        <f t="shared" ca="1" si="17"/>
        <v>599.88728149963197</v>
      </c>
    </row>
    <row r="26" spans="1:17" s="483" customFormat="1">
      <c r="A26" s="481" t="s">
        <v>561</v>
      </c>
      <c r="B26" s="835">
        <f t="shared" ca="1" si="2"/>
        <v>0.51346917419310967</v>
      </c>
      <c r="C26" s="482">
        <f t="shared" ca="1" si="3"/>
        <v>0</v>
      </c>
      <c r="D26" s="482">
        <f t="shared" si="4"/>
        <v>14.393532536459084</v>
      </c>
      <c r="E26" s="482">
        <f t="shared" si="5"/>
        <v>20.817548920445653</v>
      </c>
      <c r="F26" s="482">
        <f t="shared" si="6"/>
        <v>0</v>
      </c>
      <c r="G26" s="482">
        <f t="shared" si="7"/>
        <v>7306.9751218942047</v>
      </c>
      <c r="H26" s="482">
        <f t="shared" si="8"/>
        <v>1973.3892321133917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9316.0889046386947</v>
      </c>
    </row>
    <row r="27" spans="1:17">
      <c r="A27" s="477" t="s">
        <v>551</v>
      </c>
      <c r="B27" s="478">
        <f t="shared" ca="1" si="2"/>
        <v>0</v>
      </c>
      <c r="C27" s="478">
        <f t="shared" ca="1" si="3"/>
        <v>0</v>
      </c>
      <c r="D27" s="478">
        <f t="shared" si="4"/>
        <v>0</v>
      </c>
      <c r="E27" s="478">
        <f t="shared" si="5"/>
        <v>0</v>
      </c>
      <c r="F27" s="478">
        <f t="shared" si="6"/>
        <v>0</v>
      </c>
      <c r="G27" s="478">
        <f t="shared" si="7"/>
        <v>156.97621342999616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156.97621342999616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866.40655663182531</v>
      </c>
      <c r="C31" s="488">
        <f t="shared" ca="1" si="18"/>
        <v>0</v>
      </c>
      <c r="D31" s="488">
        <f t="shared" ca="1" si="18"/>
        <v>6602.9291095601875</v>
      </c>
      <c r="E31" s="488">
        <f t="shared" si="18"/>
        <v>863.56452746744435</v>
      </c>
      <c r="F31" s="488">
        <f t="shared" ca="1" si="18"/>
        <v>8676.860621876438</v>
      </c>
      <c r="G31" s="488">
        <f t="shared" si="18"/>
        <v>7463.951335324201</v>
      </c>
      <c r="H31" s="488">
        <f t="shared" si="18"/>
        <v>1973.3892321133917</v>
      </c>
      <c r="I31" s="488">
        <f t="shared" si="18"/>
        <v>0</v>
      </c>
      <c r="J31" s="488">
        <f t="shared" si="18"/>
        <v>648.46294554509802</v>
      </c>
      <c r="K31" s="488">
        <f t="shared" si="18"/>
        <v>0</v>
      </c>
      <c r="L31" s="488">
        <f t="shared" ca="1" si="18"/>
        <v>0</v>
      </c>
      <c r="M31" s="488">
        <f t="shared" si="18"/>
        <v>0</v>
      </c>
      <c r="N31" s="488">
        <f t="shared" ca="1" si="18"/>
        <v>0</v>
      </c>
      <c r="O31" s="488">
        <f t="shared" si="18"/>
        <v>0</v>
      </c>
      <c r="P31" s="489">
        <f t="shared" si="18"/>
        <v>0</v>
      </c>
      <c r="Q31" s="489">
        <f t="shared" ca="1" si="18"/>
        <v>27095.564328518587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3.2896645257868819E-2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3.2896645257868819E-2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3.2896645257868819E-2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2018-09-06T12:48:47Z</dcterms:modified>
</cp:coreProperties>
</file>