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P31"/>
  <c r="I14"/>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<sst xmlns="http://schemas.openxmlformats.org/spreadsheetml/2006/main" count="1914" uniqueCount="809">
  <si>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</si>
  <si>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</si>
  <si>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</si>
  <si>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</si>
  <si>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</si>
  <si>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</si>
  <si>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</si>
  <si>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</si>
  <si>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</si>
  <si>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</si>
  <si>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</si>
  <si>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</si>
  <si>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</si>
  <si>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</si>
  <si>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</si>
  <si>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</si>
  <si>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</si>
  <si>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</si>
  <si>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</si>
  <si>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</si>
  <si>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</si>
  <si>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</si>
  <si>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</si>
  <si>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</si>
  <si>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</si>
  <si>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</si>
  <si>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</si>
  <si>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</si>
  <si>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</si>
  <si>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</si>
  <si>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</si>
  <si>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</si>
  <si>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</si>
  <si>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</si>
  <si>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</si>
  <si>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</si>
  <si>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</si>
  <si>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</si>
  <si>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</si>
  <si>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</si>
  <si>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</si>
  <si>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</si>
  <si>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</si>
  <si>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</si>
  <si>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</si>
  <si>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</si>
  <si>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</si>
  <si>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</si>
  <si>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</si>
  <si>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</si>
  <si>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</si>
  <si>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</si>
  <si>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</si>
  <si>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</si>
  <si>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</si>
  <si>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</si>
  <si>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</si>
  <si>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</si>
  <si>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</si>
  <si>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</si>
  <si>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</si>
  <si>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</si>
  <si>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</si>
  <si>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</si>
  <si>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</si>
  <si>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</si>
  <si>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</si>
  <si>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</si>
  <si>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</si>
  <si>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</si>
  <si>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</si>
  <si>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</si>
  <si>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</si>
  <si>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</si>
  <si>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</si>
  <si>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</si>
  <si>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</si>
  <si>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</si>
  <si>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</si>
  <si>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</si>
  <si>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</si>
  <si>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</si>
  <si>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</si>
  <si>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</si>
  <si>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</si>
  <si>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</si>
  <si>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</si>
  <si>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</si>
  <si>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</si>
  <si>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</si>
  <si>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</si>
  <si>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</si>
  <si>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</si>
  <si>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</si>
  <si>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</si>
  <si>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</si>
  <si>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</si>
  <si>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</si>
  <si>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</si>
  <si>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</si>
  <si>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</si>
  <si>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</si>
  <si>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</si>
  <si>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</si>
  <si>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</si>
  <si>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</si>
  <si>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</si>
  <si>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</si>
  <si>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</si>
  <si>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</si>
  <si>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</si>
  <si>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</si>
  <si>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</si>
  <si>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</si>
  <si>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</si>
  <si>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</si>
  <si>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</si>
  <si>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</si>
  <si>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</si>
  <si>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</si>
  <si>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</si>
  <si>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</si>
  <si>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</si>
  <si>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</si>
  <si>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</si>
  <si>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</si>
  <si>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</si>
  <si>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</si>
  <si>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</si>
  <si>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</si>
  <si>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</si>
  <si>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</si>
  <si>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</si>
  <si>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</si>
  <si>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</si>
  <si>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</si>
  <si>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</si>
  <si>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</si>
  <si>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</si>
  <si>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</si>
  <si>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</si>
  <si>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</si>
  <si>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</si>
  <si>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</si>
  <si>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</si>
  <si>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</si>
  <si>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</si>
  <si>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</si>
  <si>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</si>
  <si>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</si>
  <si>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</si>
  <si>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</si>
  <si>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</si>
  <si>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</si>
  <si>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</si>
  <si>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</si>
  <si>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</si>
  <si>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</si>
  <si>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</si>
  <si>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</si>
  <si>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</si>
  <si>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</si>
  <si>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</si>
  <si>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</si>
  <si>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</si>
  <si>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</si>
  <si>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</si>
  <si>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</si>
  <si>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</si>
  <si>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</si>
  <si>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</si>
  <si>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</si>
  <si>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</si>
  <si>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</si>
  <si>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</si>
  <si>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</si>
  <si>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</si>
  <si>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</si>
  <si>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</si>
  <si>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</si>
  <si>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</si>
  <si>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</si>
  <si>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</si>
  <si>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</si>
  <si>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</si>
  <si>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</si>
  <si>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</si>
  <si>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</si>
  <si>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</si>
  <si>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</si>
  <si>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</si>
  <si>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</si>
  <si>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</si>
  <si>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</si>
  <si>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</si>
  <si>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</si>
  <si>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</si>
  <si>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</si>
  <si>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</si>
  <si>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</si>
  <si>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</si>
  <si>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</si>
  <si>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</si>
  <si>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</si>
  <si>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</si>
  <si>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</si>
  <si>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</si>
  <si>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</si>
  <si>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</si>
  <si>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</si>
  <si>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</si>
  <si>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</si>
  <si>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</si>
  <si>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</si>
  <si>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</si>
  <si>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</si>
  <si>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</si>
  <si>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</si>
  <si>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</si>
  <si>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</si>
  <si>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</si>
  <si>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</si>
  <si>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</si>
  <si>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</si>
  <si>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</si>
  <si>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</si>
  <si>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</si>
  <si>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</si>
  <si>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</si>
  <si>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</si>
  <si>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</si>
  <si>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</si>
  <si>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</si>
  <si>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</si>
  <si>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</si>
  <si>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</si>
  <si>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</si>
  <si>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</si>
  <si>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</si>
  <si>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</si>
  <si>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</si>
  <si>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</si>
  <si>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</si>
  <si>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</si>
  <si>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</si>
  <si>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</si>
  <si>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</si>
  <si>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</si>
  <si>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</si>
  <si>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</si>
  <si>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</si>
  <si>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</si>
  <si>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</si>
  <si>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</si>
  <si>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</si>
  <si>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</si>
  <si>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</si>
  <si>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</si>
  <si>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</si>
  <si>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</si>
  <si>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</si>
  <si>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</si>
  <si>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</si>
  <si>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</si>
  <si>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</si>
  <si>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</si>
  <si>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</si>
  <si>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</si>
  <si>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</si>
  <si>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</si>
  <si>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</si>
  <si>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</si>
  <si>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</si>
  <si>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</si>
  <si>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</si>
  <si>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</si>
  <si>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</si>
  <si>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</si>
  <si>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</si>
  <si>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</si>
  <si>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</si>
  <si>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</si>
  <si>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</si>
  <si>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</si>
  <si>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</si>
  <si>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</si>
  <si>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</si>
  <si>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</si>
  <si>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</si>
  <si>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</si>
  <si>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</si>
  <si>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</si>
  <si>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</si>
  <si>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</si>
  <si>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</si>
  <si>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</si>
  <si>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</si>
  <si>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</si>
  <si>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</si>
  <si>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</si>
  <si>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</si>
  <si>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</si>
  <si>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</si>
  <si>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</si>
  <si>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</si>
  <si>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</si>
  <si>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</si>
  <si>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</si>
  <si>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</si>
  <si>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</si>
  <si>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</si>
  <si>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</si>
  <si>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</si>
  <si>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</si>
  <si>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</si>
  <si>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</si>
  <si>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</si>
  <si>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</si>
  <si>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</si>
  <si>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</si>
  <si>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</si>
  <si>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</si>
  <si>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</si>
  <si>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</si>
  <si>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</si>
  <si>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</si>
  <si>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</si>
  <si>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</si>
  <si>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</si>
  <si>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</si>
  <si>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</si>
  <si>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</si>
  <si>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</si>
  <si>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</si>
  <si>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</si>
  <si>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</si>
  <si>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</si>
  <si>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</si>
  <si>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</si>
  <si>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</si>
  <si>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</si>
  <si>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</si>
  <si>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</si>
  <si>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</si>
  <si>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</si>
  <si>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</si>
  <si>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</si>
  <si>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</si>
  <si>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</si>
  <si>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</si>
  <si>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</si>
  <si>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</si>
  <si>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</si>
  <si>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</si>
  <si>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</si>
  <si>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</si>
  <si>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</si>
  <si>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</si>
  <si>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</si>
  <si>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</si>
  <si>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</si>
  <si>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</si>
  <si>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</si>
  <si>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</si>
  <si>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</si>
  <si>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</si>
  <si>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</si>
  <si>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</si>
  <si>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</si>
  <si>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</si>
  <si>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</si>
  <si>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</si>
  <si>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</si>
  <si>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</si>
  <si>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</si>
  <si>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</si>
  <si>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</si>
  <si>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</si>
  <si>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</si>
  <si>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</si>
  <si>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</si>
  <si>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</si>
  <si>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</si>
  <si>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</si>
  <si>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</si>
  <si>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</si>
  <si>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</si>
  <si>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</si>
  <si>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</si>
  <si>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</si>
  <si>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</si>
  <si>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</si>
  <si>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</si>
  <si>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</si>
  <si>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</si>
  <si>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</si>
  <si>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</si>
  <si>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</si>
  <si>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</si>
  <si>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</si>
  <si>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</si>
  <si>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</si>
  <si>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</si>
  <si>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</si>
  <si>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</si>
  <si>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</si>
  <si>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</si>
  <si>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</si>
  <si>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</si>
  <si>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</si>
  <si>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</si>
  <si>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</si>
  <si>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</si>
  <si>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</si>
  <si>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</si>
  <si>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</si>
  <si>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</si>
  <si>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</si>
  <si>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</si>
  <si>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</si>
  <si>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</si>
  <si>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</si>
  <si>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</si>
  <si>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</si>
  <si>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</si>
  <si>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</si>
  <si>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</si>
  <si>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</si>
  <si>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</si>
  <si>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</si>
  <si>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</si>
  <si>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</si>
  <si>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</si>
  <si>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</si>
  <si>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</si>
  <si>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</si>
  <si>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</si>
  <si>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</si>
  <si>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</si>
  <si>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</si>
  <si>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</si>
  <si>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</si>
  <si>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</si>
  <si>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</si>
  <si>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</si>
  <si>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</si>
  <si>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</si>
  <si>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</si>
  <si>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</si>
  <si>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</si>
  <si>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</si>
  <si>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</si>
  <si>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</si>
  <si>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</si>
  <si>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</si>
  <si>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</si>
  <si>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</si>
  <si>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</si>
  <si>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</si>
  <si>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</si>
  <si>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</si>
  <si>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</si>
  <si>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</si>
  <si>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</si>
  <si>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</si>
  <si>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</si>
  <si>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</si>
  <si>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</si>
  <si>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</si>
  <si>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</si>
  <si>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</si>
  <si>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</si>
  <si>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</si>
  <si>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</si>
  <si>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</si>
  <si>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</si>
  <si>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</si>
  <si>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</si>
  <si>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</si>
  <si>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</si>
  <si>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</si>
  <si>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</si>
  <si>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</si>
  <si>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</si>
  <si>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</si>
  <si>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</si>
  <si>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</si>
  <si>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</si>
  <si>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</si>
  <si>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</si>
  <si>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</si>
  <si>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</si>
  <si>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</si>
  <si>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</si>
  <si>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</si>
  <si>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</si>
  <si>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</si>
  <si>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</si>
  <si>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</si>
  <si>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</si>
  <si>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</si>
  <si>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</si>
  <si>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</si>
  <si>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</si>
  <si>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</si>
  <si>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</si>
  <si>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</si>
  <si>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</si>
  <si>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</si>
  <si>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</si>
  <si>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</si>
  <si>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</si>
  <si>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</si>
  <si>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</si>
  <si>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</si>
  <si>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</si>
  <si>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</si>
  <si>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</si>
  <si>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</si>
  <si>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</si>
  <si>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</si>
  <si>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</si>
  <si>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</si>
  <si>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</si>
  <si>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</si>
  <si>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</si>
  <si>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</si>
  <si>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</si>
  <si>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</si>
  <si>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</si>
  <si>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</si>
  <si>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</si>
  <si>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</si>
  <si>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</si>
  <si>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</si>
  <si>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</si>
  <si>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</si>
  <si>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</si>
  <si>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</si>
  <si>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</si>
  <si>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</si>
  <si>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</si>
  <si>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</si>
  <si>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</si>
  <si>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</si>
  <si>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</si>
  <si>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</si>
  <si>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</si>
  <si>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</si>
  <si>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</si>
  <si>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</si>
  <si>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</si>
  <si>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</si>
  <si>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</si>
  <si>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</si>
  <si>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</si>
  <si>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</si>
  <si>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</si>
  <si>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</si>
  <si>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</si>
  <si>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</si>
  <si>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</si>
  <si>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</si>
  <si>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</si>
  <si>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</si>
  <si>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</si>
  <si>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</si>
  <si>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</si>
  <si>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</si>
  <si>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</si>
  <si>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</si>
  <si>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</si>
  <si>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</si>
  <si>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</si>
  <si>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</si>
  <si>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</si>
  <si>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</si>
  <si>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</si>
  <si>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</si>
  <si>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</si>
  <si>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</si>
  <si>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</si>
  <si>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</si>
  <si>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</si>
  <si>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</si>
  <si>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</si>
  <si>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</si>
  <si>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</si>
  <si>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</si>
  <si>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</si>
  <si>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</si>
  <si>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</si>
  <si>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</si>
  <si>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</si>
  <si>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</si>
  <si>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</si>
  <si>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</si>
  <si>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</si>
  <si>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</si>
  <si>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</si>
  <si>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</si>
  <si>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</si>
  <si>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</si>
  <si>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</si>
  <si>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</si>
  <si>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</si>
  <si>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</si>
  <si>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</si>
  <si>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</si>
  <si>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</si>
  <si>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</si>
  <si>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</si>
  <si>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</si>
  <si>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</si>
  <si>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</si>
  <si>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</si>
  <si>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</si>
  <si>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</si>
  <si>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</si>
  <si>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</si>
  <si>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</si>
  <si>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</si>
  <si>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</si>
  <si>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</si>
  <si>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</si>
  <si>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</si>
  <si>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</si>
  <si>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</si>
  <si>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</si>
  <si>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</si>
  <si>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</si>
  <si>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</si>
  <si>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</si>
  <si>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</si>
  <si>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</si>
  <si>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</si>
  <si>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</si>
  <si>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</si>
  <si>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</si>
  <si>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</si>
  <si>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</si>
  <si>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</si>
  <si>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</si>
  <si>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</si>
  <si>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</si>
  <si>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</si>
  <si>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</si>
  <si>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</si>
  <si>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</si>
  <si>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</si>
  <si>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</si>
  <si>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</si>
  <si>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</si>
  <si>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</si>
  <si>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</si>
  <si>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</si>
  <si>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</si>
  <si>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</si>
  <si>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</si>
  <si>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</si>
  <si>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</si>
  <si>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</si>
  <si>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</si>
  <si>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</si>
  <si>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</si>
  <si>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</si>
  <si>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</si>
  <si>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</si>
  <si>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</si>
  <si>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</si>
  <si>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</si>
  <si>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</si>
  <si>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</si>
  <si>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</si>
  <si>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</si>
  <si>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</si>
  <si>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</si>
  <si>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</si>
  <si>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</si>
  <si>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</si>
  <si>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</si>
  <si>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</si>
  <si>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</si>
  <si>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</si>
  <si>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</si>
  <si>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</si>
  <si>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</si>
  <si>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</si>
  <si>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</si>
  <si>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</si>
  <si>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</si>
  <si>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</si>
  <si>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</si>
  <si>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</si>
  <si>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</si>
  <si>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</si>
  <si>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</si>
  <si>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</si>
  <si>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</si>
  <si>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</si>
  <si>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</si>
  <si>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</si>
  <si>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</si>
  <si>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</si>
  <si>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</si>
  <si>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</si>
  <si>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</si>
  <si>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</si>
  <si>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</si>
  <si>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</si>
  <si>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</si>
  <si>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</si>
  <si>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</si>
  <si>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</si>
  <si>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</si>
  <si>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</si>
  <si>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</si>
  <si>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</si>
  <si>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</si>
  <si>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</si>
  <si>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</si>
  <si>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</si>
  <si>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</si>
  <si>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</si>
  <si>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</si>
  <si>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</si>
  <si>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</si>
  <si>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</si>
  <si>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</si>
  <si>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</si>
  <si>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</si>
  <si>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</si>
  <si>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</si>
  <si>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</si>
  <si>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</si>
  <si>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</si>
  <si>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</si>
  <si>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</si>
  <si>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</si>
  <si>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</si>
  <si>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</si>
  <si>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</si>
  <si>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</si>
  <si>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</si>
  <si>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</si>
  <si>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</si>
  <si>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</si>
  <si>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</si>
  <si>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</si>
  <si>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</si>
  <si>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</si>
  <si>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</si>
  <si>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</si>
  <si>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</si>
  <si>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</si>
  <si>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</si>
  <si>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</si>
  <si>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</si>
  <si>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</si>
  <si>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</si>
  <si>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</si>
  <si>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</si>
  <si>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</si>
  <si>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</si>
  <si>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</si>
  <si>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</si>
  <si>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</si>
  <si>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</si>
  <si>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</si>
  <si>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</si>
  <si>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</si>
  <si>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</si>
  <si>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</si>
  <si>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</si>
  <si>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</si>
  <si>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</si>
  <si>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</si>
  <si>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</si>
  <si>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</si>
  <si>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</si>
  <si>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</si>
  <si>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</si>
  <si>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</si>
  <si>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</si>
  <si>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</si>
  <si>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</si>
  <si>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</si>
  <si>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</si>
  <si>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</si>
  <si>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</si>
  <si>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</si>
  <si>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</si>
  <si>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</si>
  <si>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</si>
  <si>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</si>
  <si>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</si>
  <si>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</si>
  <si>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</si>
  <si>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</si>
  <si>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</si>
  <si>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</si>
  <si>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44043</t>
  </si>
  <si>
    <t>MERELBEKE</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</si>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</sst>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169110.59991732638</c:v>
                </c:pt>
                <c:pt idx="1">
                  <c:v>96832.25914896121</c:v>
                </c:pt>
                <c:pt idx="2">
                  <c:v>1899.596</c:v>
                </c:pt>
                <c:pt idx="3">
                  <c:v>21322.372798710247</c:v>
                </c:pt>
                <c:pt idx="4">
                  <c:v>59804.732695485982</c:v>
                </c:pt>
                <c:pt idx="5">
                  <c:v>219090.21513805565</c:v>
                </c:pt>
                <c:pt idx="6">
                  <c:v>3278.9116226840547</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27744"/>
        <c:axId val="179754112"/>
      </c:barChart>
      <c:catAx>
        <c:axId val="179727744"/>
        <c:scaling>
          <c:orientation val="minMax"/>
        </c:scaling>
        <c:axPos val="b"/>
        <c:numFmt formatCode="General" sourceLinked="0"/>
        <c:tickLblPos val="nextTo"/>
        <c:crossAx val="179754112"/>
        <c:crosses val="autoZero"/>
        <c:auto val="1"/>
        <c:lblAlgn val="ctr"/>
        <c:lblOffset val="100"/>
      </c:catAx>
      <c:valAx>
        <c:axId val="179754112"/>
        <c:scaling>
          <c:orientation val="minMax"/>
        </c:scaling>
        <c:axPos val="l"/>
        <c:majorGridlines/>
        <c:numFmt formatCode="#,##0" sourceLinked="1"/>
        <c:tickLblPos val="nextTo"/>
        <c:crossAx val="17972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169110.59991732638</c:v>
                </c:pt>
                <c:pt idx="1">
                  <c:v>96832.25914896121</c:v>
                </c:pt>
                <c:pt idx="2">
                  <c:v>1899.596</c:v>
                </c:pt>
                <c:pt idx="3">
                  <c:v>21322.372798710247</c:v>
                </c:pt>
                <c:pt idx="4">
                  <c:v>59804.732695485982</c:v>
                </c:pt>
                <c:pt idx="5">
                  <c:v>219090.21513805565</c:v>
                </c:pt>
                <c:pt idx="6">
                  <c:v>3278.9116226840547</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31029.997442019157</c:v>
                </c:pt>
                <c:pt idx="1">
                  <c:v>19717.536382849226</c:v>
                </c:pt>
                <c:pt idx="2">
                  <c:v>401.0632252367738</c:v>
                </c:pt>
                <c:pt idx="3">
                  <c:v>4905.9030335431635</c:v>
                </c:pt>
                <c:pt idx="4">
                  <c:v>11170.267299897796</c:v>
                </c:pt>
                <c:pt idx="5">
                  <c:v>54825.778019251731</c:v>
                </c:pt>
                <c:pt idx="6">
                  <c:v>828.41886863646539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6928"/>
        <c:axId val="182616064"/>
      </c:barChart>
      <c:catAx>
        <c:axId val="182556928"/>
        <c:scaling>
          <c:orientation val="minMax"/>
        </c:scaling>
        <c:axPos val="b"/>
        <c:numFmt formatCode="General" sourceLinked="0"/>
        <c:tickLblPos val="nextTo"/>
        <c:crossAx val="182616064"/>
        <c:crosses val="autoZero"/>
        <c:auto val="1"/>
        <c:lblAlgn val="ctr"/>
        <c:lblOffset val="100"/>
      </c:catAx>
      <c:valAx>
        <c:axId val="182616064"/>
        <c:scaling>
          <c:orientation val="minMax"/>
        </c:scaling>
        <c:axPos val="l"/>
        <c:majorGridlines/>
        <c:numFmt formatCode="#,##0" sourceLinked="1"/>
        <c:tickLblPos val="nextTo"/>
        <c:crossAx val="18255692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31029.997442019157</c:v>
                </c:pt>
                <c:pt idx="1">
                  <c:v>19717.536382849226</c:v>
                </c:pt>
                <c:pt idx="2">
                  <c:v>401.0632252367738</c:v>
                </c:pt>
                <c:pt idx="3">
                  <c:v>4905.9030335431635</c:v>
                </c:pt>
                <c:pt idx="4">
                  <c:v>11170.267299897796</c:v>
                </c:pt>
                <c:pt idx="5">
                  <c:v>54825.778019251731</c:v>
                </c:pt>
                <c:pt idx="6">
                  <c:v>828.41886863646539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44043</v>
      </c>
      <c r="B6" s="415"/>
      <c r="C6" s="416"/>
    </row>
    <row r="7" spans="1:7" s="413" customFormat="1" ht="15.75" customHeight="1">
      <c r="A7" s="417" t="str">
        <f>txtMunicipality</f>
        <v>MERELBEKE</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44043</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10022</v>
      </c>
      <c r="C9" s="342">
        <v>10130</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1389.31</v>
      </c>
    </row>
    <row r="15" spans="1:6">
      <c r="A15" s="348" t="s">
        <v>184</v>
      </c>
      <c r="B15" s="334">
        <v>8</v>
      </c>
    </row>
    <row r="16" spans="1:6">
      <c r="A16" s="348" t="s">
        <v>6</v>
      </c>
      <c r="B16" s="334">
        <v>216</v>
      </c>
    </row>
    <row r="17" spans="1:6">
      <c r="A17" s="348" t="s">
        <v>7</v>
      </c>
      <c r="B17" s="334">
        <v>364</v>
      </c>
    </row>
    <row r="18" spans="1:6">
      <c r="A18" s="348" t="s">
        <v>8</v>
      </c>
      <c r="B18" s="334">
        <v>407</v>
      </c>
    </row>
    <row r="19" spans="1:6">
      <c r="A19" s="348" t="s">
        <v>9</v>
      </c>
      <c r="B19" s="334">
        <v>383</v>
      </c>
    </row>
    <row r="20" spans="1:6">
      <c r="A20" s="348" t="s">
        <v>10</v>
      </c>
      <c r="B20" s="334">
        <v>264</v>
      </c>
    </row>
    <row r="21" spans="1:6">
      <c r="A21" s="348" t="s">
        <v>11</v>
      </c>
      <c r="B21" s="334">
        <v>58</v>
      </c>
    </row>
    <row r="22" spans="1:6">
      <c r="A22" s="348" t="s">
        <v>12</v>
      </c>
      <c r="B22" s="334">
        <v>38</v>
      </c>
    </row>
    <row r="23" spans="1:6">
      <c r="A23" s="348" t="s">
        <v>13</v>
      </c>
      <c r="B23" s="334">
        <v>1</v>
      </c>
    </row>
    <row r="24" spans="1:6">
      <c r="A24" s="348" t="s">
        <v>14</v>
      </c>
      <c r="B24" s="334">
        <v>0</v>
      </c>
    </row>
    <row r="25" spans="1:6">
      <c r="A25" s="348" t="s">
        <v>15</v>
      </c>
      <c r="B25" s="334">
        <v>1</v>
      </c>
    </row>
    <row r="26" spans="1:6">
      <c r="A26" s="348" t="s">
        <v>16</v>
      </c>
      <c r="B26" s="334">
        <v>34</v>
      </c>
    </row>
    <row r="27" spans="1:6">
      <c r="A27" s="348" t="s">
        <v>17</v>
      </c>
      <c r="B27" s="334">
        <v>5</v>
      </c>
    </row>
    <row r="28" spans="1:6" s="356" customFormat="1">
      <c r="A28" s="355" t="s">
        <v>18</v>
      </c>
      <c r="B28" s="355">
        <v>4277</v>
      </c>
    </row>
    <row r="29" spans="1:6">
      <c r="A29" s="355" t="s">
        <v>744</v>
      </c>
      <c r="B29" s="355">
        <v>205</v>
      </c>
      <c r="C29" s="356"/>
      <c r="D29" s="356"/>
      <c r="E29" s="356"/>
      <c r="F29" s="356"/>
    </row>
    <row r="30" spans="1:6">
      <c r="A30" s="341" t="s">
        <v>745</v>
      </c>
      <c r="B30" s="341">
        <v>33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176656.87445722101</v>
      </c>
    </row>
    <row r="36" spans="1:6">
      <c r="A36" s="348" t="s">
        <v>25</v>
      </c>
      <c r="B36" s="348" t="s">
        <v>27</v>
      </c>
      <c r="C36" s="334">
        <v>0</v>
      </c>
      <c r="D36" s="334">
        <v>0</v>
      </c>
      <c r="E36" s="334">
        <v>4</v>
      </c>
      <c r="F36" s="334">
        <v>18086.786259078101</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6758</v>
      </c>
      <c r="D39" s="334">
        <v>112839161.451299</v>
      </c>
      <c r="E39" s="334">
        <v>9740</v>
      </c>
      <c r="F39" s="334">
        <v>40434930.004390404</v>
      </c>
    </row>
    <row r="40" spans="1:6">
      <c r="A40" s="348" t="s">
        <v>30</v>
      </c>
      <c r="B40" s="348" t="s">
        <v>29</v>
      </c>
      <c r="C40" s="334">
        <v>0</v>
      </c>
      <c r="D40" s="334">
        <v>0</v>
      </c>
      <c r="E40" s="334">
        <v>0</v>
      </c>
      <c r="F40" s="334">
        <v>0</v>
      </c>
    </row>
    <row r="41" spans="1:6">
      <c r="A41" s="348" t="s">
        <v>32</v>
      </c>
      <c r="B41" s="348" t="s">
        <v>33</v>
      </c>
      <c r="C41" s="334">
        <v>108</v>
      </c>
      <c r="D41" s="334">
        <v>2686322.4625567398</v>
      </c>
      <c r="E41" s="334">
        <v>204</v>
      </c>
      <c r="F41" s="334">
        <v>1992178.60079873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11</v>
      </c>
      <c r="D44" s="334">
        <v>867357.44761604199</v>
      </c>
      <c r="E44" s="334">
        <v>32</v>
      </c>
      <c r="F44" s="334">
        <v>932438.78857531503</v>
      </c>
    </row>
    <row r="45" spans="1:6">
      <c r="A45" s="348" t="s">
        <v>32</v>
      </c>
      <c r="B45" s="348" t="s">
        <v>37</v>
      </c>
      <c r="C45" s="334">
        <v>0</v>
      </c>
      <c r="D45" s="334">
        <v>0</v>
      </c>
      <c r="E45" s="334">
        <v>3</v>
      </c>
      <c r="F45" s="334">
        <v>7226.7570986825003</v>
      </c>
    </row>
    <row r="46" spans="1:6">
      <c r="A46" s="348" t="s">
        <v>32</v>
      </c>
      <c r="B46" s="348" t="s">
        <v>38</v>
      </c>
      <c r="C46" s="334">
        <v>0</v>
      </c>
      <c r="D46" s="334">
        <v>0</v>
      </c>
      <c r="E46" s="334">
        <v>0</v>
      </c>
      <c r="F46" s="334">
        <v>0</v>
      </c>
    </row>
    <row r="47" spans="1:6">
      <c r="A47" s="348" t="s">
        <v>32</v>
      </c>
      <c r="B47" s="348" t="s">
        <v>39</v>
      </c>
      <c r="C47" s="334">
        <v>4</v>
      </c>
      <c r="D47" s="334">
        <v>247916.522039765</v>
      </c>
      <c r="E47" s="334">
        <v>11</v>
      </c>
      <c r="F47" s="334">
        <v>636203.19943334197</v>
      </c>
    </row>
    <row r="48" spans="1:6">
      <c r="A48" s="348" t="s">
        <v>32</v>
      </c>
      <c r="B48" s="348" t="s">
        <v>29</v>
      </c>
      <c r="C48" s="334">
        <v>32</v>
      </c>
      <c r="D48" s="334">
        <v>9459670.1817508694</v>
      </c>
      <c r="E48" s="334">
        <v>33</v>
      </c>
      <c r="F48" s="334">
        <v>26131986.829103801</v>
      </c>
    </row>
    <row r="49" spans="1:6">
      <c r="A49" s="348" t="s">
        <v>32</v>
      </c>
      <c r="B49" s="348" t="s">
        <v>40</v>
      </c>
      <c r="C49" s="334">
        <v>0</v>
      </c>
      <c r="D49" s="334">
        <v>0</v>
      </c>
      <c r="E49" s="334">
        <v>0</v>
      </c>
      <c r="F49" s="334">
        <v>0</v>
      </c>
    </row>
    <row r="50" spans="1:6">
      <c r="A50" s="348" t="s">
        <v>32</v>
      </c>
      <c r="B50" s="348" t="s">
        <v>41</v>
      </c>
      <c r="C50" s="334">
        <v>8</v>
      </c>
      <c r="D50" s="334">
        <v>191746.519372629</v>
      </c>
      <c r="E50" s="334">
        <v>17</v>
      </c>
      <c r="F50" s="334">
        <v>506704.54087165702</v>
      </c>
    </row>
    <row r="51" spans="1:6">
      <c r="A51" s="348" t="s">
        <v>42</v>
      </c>
      <c r="B51" s="348" t="s">
        <v>43</v>
      </c>
      <c r="C51" s="334">
        <v>22</v>
      </c>
      <c r="D51" s="334">
        <v>7227614.6863429202</v>
      </c>
      <c r="E51" s="334">
        <v>85</v>
      </c>
      <c r="F51" s="334">
        <v>1924726.5297015901</v>
      </c>
    </row>
    <row r="52" spans="1:6">
      <c r="A52" s="348" t="s">
        <v>42</v>
      </c>
      <c r="B52" s="348" t="s">
        <v>29</v>
      </c>
      <c r="C52" s="334">
        <v>2</v>
      </c>
      <c r="D52" s="334">
        <v>37835.444637570698</v>
      </c>
      <c r="E52" s="334">
        <v>7</v>
      </c>
      <c r="F52" s="334">
        <v>53588.155503194597</v>
      </c>
    </row>
    <row r="53" spans="1:6">
      <c r="A53" s="348" t="s">
        <v>44</v>
      </c>
      <c r="B53" s="348" t="s">
        <v>45</v>
      </c>
      <c r="C53" s="334">
        <v>182</v>
      </c>
      <c r="D53" s="334">
        <v>4661093.12101088</v>
      </c>
      <c r="E53" s="334">
        <v>382</v>
      </c>
      <c r="F53" s="334">
        <v>1550445.85023003</v>
      </c>
    </row>
    <row r="54" spans="1:6">
      <c r="A54" s="348" t="s">
        <v>46</v>
      </c>
      <c r="B54" s="348" t="s">
        <v>47</v>
      </c>
      <c r="C54" s="334">
        <v>0</v>
      </c>
      <c r="D54" s="334">
        <v>0</v>
      </c>
      <c r="E54" s="334">
        <v>5</v>
      </c>
      <c r="F54" s="334">
        <v>1899596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3722616.2361917398</v>
      </c>
      <c r="E57" s="334">
        <v>162</v>
      </c>
      <c r="F57" s="334">
        <v>3061175.7071143002</v>
      </c>
    </row>
    <row r="58" spans="1:6">
      <c r="A58" s="348" t="s">
        <v>49</v>
      </c>
      <c r="B58" s="348" t="s">
        <v>51</v>
      </c>
      <c r="C58" s="334">
        <v>61</v>
      </c>
      <c r="D58" s="334">
        <v>3749393.2095649401</v>
      </c>
      <c r="E58" s="334">
        <v>90</v>
      </c>
      <c r="F58" s="334">
        <v>1339795.63860262</v>
      </c>
    </row>
    <row r="59" spans="1:6">
      <c r="A59" s="348" t="s">
        <v>49</v>
      </c>
      <c r="B59" s="348" t="s">
        <v>52</v>
      </c>
      <c r="C59" s="334">
        <v>146</v>
      </c>
      <c r="D59" s="334">
        <v>6363558.0859685298</v>
      </c>
      <c r="E59" s="334">
        <v>268</v>
      </c>
      <c r="F59" s="334">
        <v>9182334.9049521107</v>
      </c>
    </row>
    <row r="60" spans="1:6">
      <c r="A60" s="348" t="s">
        <v>49</v>
      </c>
      <c r="B60" s="348" t="s">
        <v>53</v>
      </c>
      <c r="C60" s="334">
        <v>69</v>
      </c>
      <c r="D60" s="334">
        <v>3136583.76219205</v>
      </c>
      <c r="E60" s="334">
        <v>89</v>
      </c>
      <c r="F60" s="334">
        <v>2076668.2310879901</v>
      </c>
    </row>
    <row r="61" spans="1:6">
      <c r="A61" s="348" t="s">
        <v>49</v>
      </c>
      <c r="B61" s="348" t="s">
        <v>54</v>
      </c>
      <c r="C61" s="334">
        <v>284</v>
      </c>
      <c r="D61" s="334">
        <v>18925060.986924302</v>
      </c>
      <c r="E61" s="334">
        <v>467</v>
      </c>
      <c r="F61" s="334">
        <v>12847554.006022699</v>
      </c>
    </row>
    <row r="62" spans="1:6">
      <c r="A62" s="348" t="s">
        <v>49</v>
      </c>
      <c r="B62" s="348" t="s">
        <v>55</v>
      </c>
      <c r="C62" s="334">
        <v>18</v>
      </c>
      <c r="D62" s="334">
        <v>11065952.8110801</v>
      </c>
      <c r="E62" s="334">
        <v>21</v>
      </c>
      <c r="F62" s="334">
        <v>5291065.2476318404</v>
      </c>
    </row>
    <row r="63" spans="1:6">
      <c r="A63" s="348" t="s">
        <v>49</v>
      </c>
      <c r="B63" s="348" t="s">
        <v>29</v>
      </c>
      <c r="C63" s="334">
        <v>112</v>
      </c>
      <c r="D63" s="334">
        <v>5588611.1853508502</v>
      </c>
      <c r="E63" s="334">
        <v>102</v>
      </c>
      <c r="F63" s="334">
        <v>5123271.44948457</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5</v>
      </c>
      <c r="D66" s="334">
        <v>2514322.6109628398</v>
      </c>
      <c r="E66" s="334">
        <v>17</v>
      </c>
      <c r="F66" s="334">
        <v>1898578.6765002101</v>
      </c>
    </row>
    <row r="67" spans="1:6">
      <c r="A67" s="355" t="s">
        <v>56</v>
      </c>
      <c r="B67" s="355" t="s">
        <v>59</v>
      </c>
      <c r="C67" s="334">
        <v>0</v>
      </c>
      <c r="D67" s="334">
        <v>0</v>
      </c>
      <c r="E67" s="334">
        <v>0</v>
      </c>
      <c r="F67" s="334">
        <v>0</v>
      </c>
    </row>
    <row r="68" spans="1:6">
      <c r="A68" s="341" t="s">
        <v>56</v>
      </c>
      <c r="B68" s="341" t="s">
        <v>60</v>
      </c>
      <c r="C68" s="334">
        <v>7</v>
      </c>
      <c r="D68" s="334">
        <v>195885.843746147</v>
      </c>
      <c r="E68" s="334">
        <v>9</v>
      </c>
      <c r="F68" s="334">
        <v>66294.101758198201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64890249</v>
      </c>
      <c r="E73" s="476">
        <v>67924307.214679882</v>
      </c>
    </row>
    <row r="74" spans="1:6">
      <c r="A74" s="348" t="s">
        <v>64</v>
      </c>
      <c r="B74" s="348" t="s">
        <v>657</v>
      </c>
      <c r="C74" s="1213" t="s">
        <v>659</v>
      </c>
      <c r="D74" s="476">
        <v>4506929.1841396596</v>
      </c>
      <c r="E74" s="476">
        <v>5120736.7797019891</v>
      </c>
    </row>
    <row r="75" spans="1:6">
      <c r="A75" s="348" t="s">
        <v>65</v>
      </c>
      <c r="B75" s="348" t="s">
        <v>656</v>
      </c>
      <c r="C75" s="1213" t="s">
        <v>660</v>
      </c>
      <c r="D75" s="476">
        <v>51035969</v>
      </c>
      <c r="E75" s="476">
        <v>50586807.316690914</v>
      </c>
    </row>
    <row r="76" spans="1:6">
      <c r="A76" s="348" t="s">
        <v>65</v>
      </c>
      <c r="B76" s="348" t="s">
        <v>657</v>
      </c>
      <c r="C76" s="1213" t="s">
        <v>661</v>
      </c>
      <c r="D76" s="476">
        <v>2686767.1841396596</v>
      </c>
      <c r="E76" s="476">
        <v>2716310.8393851542</v>
      </c>
    </row>
    <row r="77" spans="1:6">
      <c r="A77" s="348" t="s">
        <v>66</v>
      </c>
      <c r="B77" s="348" t="s">
        <v>656</v>
      </c>
      <c r="C77" s="1213" t="s">
        <v>662</v>
      </c>
      <c r="D77" s="476">
        <v>119870676</v>
      </c>
      <c r="E77" s="476">
        <v>116165760.1635299</v>
      </c>
    </row>
    <row r="78" spans="1:6">
      <c r="A78" s="341" t="s">
        <v>66</v>
      </c>
      <c r="B78" s="341" t="s">
        <v>657</v>
      </c>
      <c r="C78" s="341" t="s">
        <v>663</v>
      </c>
      <c r="D78" s="1214">
        <v>12334193</v>
      </c>
      <c r="E78" s="1214">
        <v>12190951.679089887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889295.63172068121</v>
      </c>
      <c r="C83" s="476">
        <v>885880.94620958425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4807.7501230475973</v>
      </c>
    </row>
    <row r="92" spans="1:6">
      <c r="A92" s="341" t="s">
        <v>69</v>
      </c>
      <c r="B92" s="342">
        <v>477.04771515863001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3542</v>
      </c>
    </row>
    <row r="98" spans="1:6">
      <c r="A98" s="348" t="s">
        <v>72</v>
      </c>
      <c r="B98" s="334">
        <v>1</v>
      </c>
    </row>
    <row r="99" spans="1:6">
      <c r="A99" s="348" t="s">
        <v>73</v>
      </c>
      <c r="B99" s="334">
        <v>75</v>
      </c>
    </row>
    <row r="100" spans="1:6">
      <c r="A100" s="348" t="s">
        <v>74</v>
      </c>
      <c r="B100" s="334">
        <v>1093</v>
      </c>
    </row>
    <row r="101" spans="1:6">
      <c r="A101" s="348" t="s">
        <v>75</v>
      </c>
      <c r="B101" s="334">
        <v>88</v>
      </c>
    </row>
    <row r="102" spans="1:6">
      <c r="A102" s="348" t="s">
        <v>76</v>
      </c>
      <c r="B102" s="334">
        <v>153</v>
      </c>
    </row>
    <row r="103" spans="1:6">
      <c r="A103" s="348" t="s">
        <v>77</v>
      </c>
      <c r="B103" s="334">
        <v>240</v>
      </c>
    </row>
    <row r="104" spans="1:6">
      <c r="A104" s="348" t="s">
        <v>78</v>
      </c>
      <c r="B104" s="334">
        <v>3188</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42</v>
      </c>
      <c r="C123" s="334">
        <v>118</v>
      </c>
    </row>
    <row r="124" spans="1:6">
      <c r="A124" s="341" t="s">
        <v>89</v>
      </c>
      <c r="B124" s="334">
        <v>2</v>
      </c>
      <c r="C124" s="334">
        <v>5</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280</v>
      </c>
    </row>
    <row r="130" spans="1:6">
      <c r="A130" s="348" t="s">
        <v>295</v>
      </c>
      <c r="B130" s="334">
        <v>6</v>
      </c>
    </row>
    <row r="131" spans="1:6">
      <c r="A131" s="348" t="s">
        <v>296</v>
      </c>
      <c r="B131" s="334">
        <v>3</v>
      </c>
    </row>
    <row r="132" spans="1:6">
      <c r="A132" s="341" t="s">
        <v>297</v>
      </c>
      <c r="B132" s="342">
        <v>21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118341.95799282614</v>
      </c>
      <c r="C3" s="43" t="s">
        <v>170</v>
      </c>
      <c r="D3" s="43"/>
      <c r="E3" s="154"/>
      <c r="F3" s="43"/>
      <c r="G3" s="43"/>
      <c r="H3" s="43"/>
      <c r="I3" s="43"/>
      <c r="J3" s="43"/>
      <c r="K3" s="96"/>
    </row>
    <row r="4" spans="1:11">
      <c r="A4" s="383" t="s">
        <v>171</v>
      </c>
      <c r="B4" s="49">
        <f>IF(ISERROR('SEAP template'!B69),0,'SEAP template'!B69)</f>
        <v>5284.7978382062274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0.21113080109495588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1899.596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1899.596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0.21113080109495588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401.0632252367738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40434.9300043904</v>
      </c>
      <c r="C5" s="17">
        <f>IF(ISERROR('Eigen informatie GS &amp; warmtenet'!B57),0,'Eigen informatie GS &amp; warmtenet'!B57)</f>
        <v>0</v>
      </c>
      <c r="D5" s="30">
        <f>(SUM(HH_hh_gas_kWh,HH_rest_gas_kWh)/1000)*0.902</f>
        <v>101780.92362907169</v>
      </c>
      <c r="E5" s="17">
        <f>B46*B57</f>
        <v>4044.6148456292835</v>
      </c>
      <c r="F5" s="17">
        <f>B51*B62</f>
        <v>0</v>
      </c>
      <c r="G5" s="18"/>
      <c r="H5" s="17"/>
      <c r="I5" s="17"/>
      <c r="J5" s="17">
        <f>B50*B61+C50*C61</f>
        <v>0</v>
      </c>
      <c r="K5" s="17"/>
      <c r="L5" s="17"/>
      <c r="M5" s="17"/>
      <c r="N5" s="17">
        <f>B48*B59+C48*C59</f>
        <v>16173.024648520723</v>
      </c>
      <c r="O5" s="17">
        <f>B69*B70*B71</f>
        <v>630.02333333333343</v>
      </c>
      <c r="P5" s="17">
        <f>B77*B78*B79/1000-B77*B78*B79/1000/B80</f>
        <v>1239.3333333333333</v>
      </c>
    </row>
    <row r="6" spans="1:16">
      <c r="A6" s="16" t="s">
        <v>621</v>
      </c>
      <c r="B6" s="843">
        <f>kWh_PV_kleiner_dan_10kW</f>
        <v>4807.7501230475973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45242.680127437998</v>
      </c>
      <c r="C8" s="21">
        <f>C5</f>
        <v>0</v>
      </c>
      <c r="D8" s="21">
        <f>D5</f>
        <v>101780.92362907169</v>
      </c>
      <c r="E8" s="21">
        <f>E5</f>
        <v>4044.6148456292835</v>
      </c>
      <c r="F8" s="21">
        <f>F5</f>
        <v>0</v>
      </c>
      <c r="G8" s="21"/>
      <c r="H8" s="21"/>
      <c r="I8" s="21"/>
      <c r="J8" s="21">
        <f>J5</f>
        <v>0</v>
      </c>
      <c r="K8" s="21"/>
      <c r="L8" s="21">
        <f>L5</f>
        <v>0</v>
      </c>
      <c r="M8" s="21">
        <f>M5</f>
        <v>0</v>
      </c>
      <c r="N8" s="21">
        <f>N5</f>
        <v>16173.024648520723</v>
      </c>
      <c r="O8" s="21">
        <f>O5</f>
        <v>630.02333333333343</v>
      </c>
      <c r="P8" s="21">
        <f>P5</f>
        <v>1239.3333333333333</v>
      </c>
    </row>
    <row r="9" spans="1:16">
      <c r="B9" s="19"/>
      <c r="C9" s="19"/>
      <c r="D9" s="258"/>
      <c r="E9" s="19"/>
      <c r="F9" s="19"/>
      <c r="G9" s="19"/>
      <c r="H9" s="19"/>
      <c r="I9" s="19"/>
      <c r="J9" s="19"/>
      <c r="K9" s="19"/>
      <c r="L9" s="19"/>
      <c r="M9" s="19"/>
      <c r="N9" s="19"/>
      <c r="O9" s="19"/>
      <c r="P9" s="19"/>
    </row>
    <row r="10" spans="1:16">
      <c r="A10" s="24" t="s">
        <v>214</v>
      </c>
      <c r="B10" s="25">
        <f ca="1">'EF ele_warmte'!B12</f>
        <v>0.21113080109495588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9552.1232989888249</v>
      </c>
      <c r="C12" s="23">
        <f ca="1">C10*C8</f>
        <v>0</v>
      </c>
      <c r="D12" s="23">
        <f>D8*D10</f>
        <v>20559.746573072483</v>
      </c>
      <c r="E12" s="23">
        <f>E10*E8</f>
        <v>918.12756995784741</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3542</v>
      </c>
      <c r="C18" s="166" t="s">
        <v>111</v>
      </c>
      <c r="D18" s="228"/>
      <c r="E18" s="15"/>
    </row>
    <row r="19" spans="1:7">
      <c r="A19" s="171" t="s">
        <v>72</v>
      </c>
      <c r="B19" s="37">
        <f>aantalw2001_ander</f>
        <v>1</v>
      </c>
      <c r="C19" s="166" t="s">
        <v>111</v>
      </c>
      <c r="D19" s="229"/>
      <c r="E19" s="15"/>
    </row>
    <row r="20" spans="1:7">
      <c r="A20" s="171" t="s">
        <v>73</v>
      </c>
      <c r="B20" s="37">
        <f>aantalw2001_propaan</f>
        <v>75</v>
      </c>
      <c r="C20" s="167">
        <f>IF(ISERROR(B20/SUM($B$20,$B$21,$B$22)*100),0,B20/SUM($B$20,$B$21,$B$22)*100)</f>
        <v>5.9713375796178347</v>
      </c>
      <c r="D20" s="229"/>
      <c r="E20" s="15"/>
    </row>
    <row r="21" spans="1:7">
      <c r="A21" s="171" t="s">
        <v>74</v>
      </c>
      <c r="B21" s="37">
        <f>aantalw2001_elektriciteit</f>
        <v>1093</v>
      </c>
      <c r="C21" s="167">
        <f>IF(ISERROR(B21/SUM($B$20,$B$21,$B$22)*100),0,B21/SUM($B$20,$B$21,$B$22)*100)</f>
        <v>87.022292993630572</v>
      </c>
      <c r="D21" s="229"/>
      <c r="E21" s="15"/>
    </row>
    <row r="22" spans="1:7">
      <c r="A22" s="171" t="s">
        <v>75</v>
      </c>
      <c r="B22" s="37">
        <f>aantalw2001_hout</f>
        <v>88</v>
      </c>
      <c r="C22" s="167">
        <f>IF(ISERROR(B22/SUM($B$20,$B$21,$B$22)*100),0,B22/SUM($B$20,$B$21,$B$22)*100)</f>
        <v>7.0063694267515926</v>
      </c>
      <c r="D22" s="229"/>
      <c r="E22" s="15"/>
    </row>
    <row r="23" spans="1:7">
      <c r="A23" s="171" t="s">
        <v>76</v>
      </c>
      <c r="B23" s="37">
        <f>aantalw2001_niet_gespec</f>
        <v>153</v>
      </c>
      <c r="C23" s="166" t="s">
        <v>111</v>
      </c>
      <c r="D23" s="228"/>
      <c r="E23" s="15"/>
    </row>
    <row r="24" spans="1:7">
      <c r="A24" s="171" t="s">
        <v>77</v>
      </c>
      <c r="B24" s="37">
        <f>aantalw2001_steenkool</f>
        <v>240</v>
      </c>
      <c r="C24" s="166" t="s">
        <v>111</v>
      </c>
      <c r="D24" s="229"/>
      <c r="E24" s="15"/>
    </row>
    <row r="25" spans="1:7">
      <c r="A25" s="171" t="s">
        <v>78</v>
      </c>
      <c r="B25" s="37">
        <f>aantalw2001_stookolie</f>
        <v>3188</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10022</v>
      </c>
      <c r="C28" s="36"/>
      <c r="D28" s="228"/>
    </row>
    <row r="29" spans="1:7" s="15" customFormat="1">
      <c r="A29" s="230" t="s">
        <v>795</v>
      </c>
      <c r="B29" s="37">
        <f>SUM(HH_hh_gas_aantal,HH_rest_gas_aantal)</f>
        <v>6758</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6758</v>
      </c>
      <c r="C32" s="167">
        <f>IF(ISERROR(B32/SUM($B$32,$B$34,$B$35,$B$36,$B$38,$B$39)*100),0,B32/SUM($B$32,$B$34,$B$35,$B$36,$B$38,$B$39)*100)</f>
        <v>67.871848950487092</v>
      </c>
      <c r="D32" s="233"/>
      <c r="G32" s="15"/>
    </row>
    <row r="33" spans="1:7">
      <c r="A33" s="171" t="s">
        <v>72</v>
      </c>
      <c r="B33" s="34" t="s">
        <v>111</v>
      </c>
      <c r="C33" s="167"/>
      <c r="D33" s="233"/>
      <c r="G33" s="15"/>
    </row>
    <row r="34" spans="1:7">
      <c r="A34" s="171" t="s">
        <v>73</v>
      </c>
      <c r="B34" s="33">
        <f>IF((($B$28-$B$32-$B$39-$B$77-$B$38)*C20/100)&lt;0,0,($B$28-$B$32-$B$39-$B$77-$B$38)*C20/100)</f>
        <v>191.02308917197453</v>
      </c>
      <c r="C34" s="167">
        <f>IF(ISERROR(B34/SUM($B$32,$B$34,$B$35,$B$36,$B$38,$B$39)*100),0,B34/SUM($B$32,$B$34,$B$35,$B$36,$B$38,$B$39)*100)</f>
        <v>1.9184803572559459</v>
      </c>
      <c r="D34" s="233"/>
      <c r="G34" s="15"/>
    </row>
    <row r="35" spans="1:7">
      <c r="A35" s="171" t="s">
        <v>74</v>
      </c>
      <c r="B35" s="33">
        <f>IF((($B$28-$B$32-$B$39-$B$77-$B$38)*C21/100)&lt;0,0,($B$28-$B$32-$B$39-$B$77-$B$38)*C21/100)</f>
        <v>2783.8431528662418</v>
      </c>
      <c r="C35" s="167">
        <f>IF(ISERROR(B35/SUM($B$32,$B$34,$B$35,$B$36,$B$38,$B$39)*100),0,B35/SUM($B$32,$B$34,$B$35,$B$36,$B$38,$B$39)*100)</f>
        <v>27.958653739743315</v>
      </c>
      <c r="D35" s="233"/>
      <c r="G35" s="15"/>
    </row>
    <row r="36" spans="1:7">
      <c r="A36" s="171" t="s">
        <v>75</v>
      </c>
      <c r="B36" s="33">
        <f>IF((($B$28-$B$32-$B$39-$B$77-$B$38)*C22/100)&lt;0,0,($B$28-$B$32-$B$39-$B$77-$B$38)*C22/100)</f>
        <v>224.13375796178346</v>
      </c>
      <c r="C36" s="167">
        <f>IF(ISERROR(B36/SUM($B$32,$B$34,$B$35,$B$36,$B$38,$B$39)*100),0,B36/SUM($B$32,$B$34,$B$35,$B$36,$B$38,$B$39)*100)</f>
        <v>2.251016952513643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6758</v>
      </c>
      <c r="C44" s="34" t="s">
        <v>111</v>
      </c>
      <c r="D44" s="174"/>
    </row>
    <row r="45" spans="1:7">
      <c r="A45" s="171" t="s">
        <v>72</v>
      </c>
      <c r="B45" s="33" t="str">
        <f t="shared" si="0"/>
        <v>-</v>
      </c>
      <c r="C45" s="34" t="s">
        <v>111</v>
      </c>
      <c r="D45" s="174"/>
    </row>
    <row r="46" spans="1:7">
      <c r="A46" s="171" t="s">
        <v>73</v>
      </c>
      <c r="B46" s="33">
        <f t="shared" si="0"/>
        <v>191.02308917197453</v>
      </c>
      <c r="C46" s="34" t="s">
        <v>111</v>
      </c>
      <c r="D46" s="174"/>
    </row>
    <row r="47" spans="1:7">
      <c r="A47" s="171" t="s">
        <v>74</v>
      </c>
      <c r="B47" s="33">
        <f t="shared" si="0"/>
        <v>2783.8431528662418</v>
      </c>
      <c r="C47" s="34" t="s">
        <v>111</v>
      </c>
      <c r="D47" s="174"/>
    </row>
    <row r="48" spans="1:7">
      <c r="A48" s="171" t="s">
        <v>75</v>
      </c>
      <c r="B48" s="33">
        <f t="shared" si="0"/>
        <v>224.13375796178346</v>
      </c>
      <c r="C48" s="33">
        <f>B48*10</f>
        <v>2241.3375796178348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403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65</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38921.865184896131</v>
      </c>
      <c r="C5" s="17">
        <f>IF(ISERROR('Eigen informatie GS &amp; warmtenet'!B58),0,'Eigen informatie GS &amp; warmtenet'!B58)</f>
        <v>0</v>
      </c>
      <c r="D5" s="30">
        <f>SUM(D6:D12)</f>
        <v>47401.702202099805</v>
      </c>
      <c r="E5" s="17">
        <f>SUM(E6:E12)</f>
        <v>510.04726555302875</v>
      </c>
      <c r="F5" s="17">
        <f>SUM(F6:F12)</f>
        <v>6775.203439883262</v>
      </c>
      <c r="G5" s="18"/>
      <c r="H5" s="17"/>
      <c r="I5" s="17"/>
      <c r="J5" s="17">
        <f>SUM(J6:J12)</f>
        <v>7.8852256232468387E-2</v>
      </c>
      <c r="K5" s="17"/>
      <c r="L5" s="17"/>
      <c r="M5" s="17"/>
      <c r="N5" s="17">
        <f>SUM(N6:N12)</f>
        <v>3156.7822042727294</v>
      </c>
      <c r="O5" s="17">
        <f>B38*B39*B40</f>
        <v>9.3800000000000008</v>
      </c>
      <c r="P5" s="17">
        <f>B46*B47*B48/1000-B46*B47*B48/1000/B49</f>
        <v>57.2</v>
      </c>
      <c r="R5" s="32"/>
    </row>
    <row r="6" spans="1:18">
      <c r="A6" s="32" t="s">
        <v>54</v>
      </c>
      <c r="B6" s="37">
        <f>B26</f>
        <v>12847.554006022699</v>
      </c>
      <c r="C6" s="33"/>
      <c r="D6" s="37">
        <f>IF(ISERROR(TER_kantoor_gas_kWh/1000),0,TER_kantoor_gas_kWh/1000)*0.902</f>
        <v>17070.405010205719</v>
      </c>
      <c r="E6" s="33">
        <f>$C$26*'E Balans VL '!I12/100/3.6*1000000</f>
        <v>8.0524195480230903E-2</v>
      </c>
      <c r="F6" s="33">
        <f>$C$26*('E Balans VL '!L12+'E Balans VL '!N12)/100/3.6*1000000</f>
        <v>1930.6283722075891</v>
      </c>
      <c r="G6" s="34"/>
      <c r="H6" s="33"/>
      <c r="I6" s="33"/>
      <c r="J6" s="33">
        <f>$C$26*('E Balans VL '!D12+'E Balans VL '!E12)/100/3.6*1000000</f>
        <v>0</v>
      </c>
      <c r="K6" s="33"/>
      <c r="L6" s="33"/>
      <c r="M6" s="33"/>
      <c r="N6" s="33">
        <f>$C$26*'E Balans VL '!Y12/100/3.6*1000000</f>
        <v>12.286780547832166</v>
      </c>
      <c r="O6" s="33"/>
      <c r="P6" s="33"/>
      <c r="R6" s="32"/>
    </row>
    <row r="7" spans="1:18">
      <c r="A7" s="32" t="s">
        <v>53</v>
      </c>
      <c r="B7" s="37">
        <f t="shared" ref="B7:B12" si="0">B27</f>
        <v>2076.6682310879901</v>
      </c>
      <c r="C7" s="33"/>
      <c r="D7" s="37">
        <f>IF(ISERROR(TER_horeca_gas_kWh/1000),0,TER_horeca_gas_kWh/1000)*0.902</f>
        <v>2829.1985534972291</v>
      </c>
      <c r="E7" s="33">
        <f>$C$27*'E Balans VL '!I9/100/3.6*1000000</f>
        <v>29.737543162285693</v>
      </c>
      <c r="F7" s="33">
        <f>$C$27*('E Balans VL '!L9+'E Balans VL '!N9)/100/3.6*1000000</f>
        <v>262.97468921268182</v>
      </c>
      <c r="G7" s="34"/>
      <c r="H7" s="33"/>
      <c r="I7" s="33"/>
      <c r="J7" s="33">
        <f>$C$27*('E Balans VL '!D9+'E Balans VL '!E9)/100/3.6*1000000</f>
        <v>0</v>
      </c>
      <c r="K7" s="33"/>
      <c r="L7" s="33"/>
      <c r="M7" s="33"/>
      <c r="N7" s="33">
        <f>$C$27*'E Balans VL '!Y9/100/3.6*1000000</f>
        <v>0.59699632983360862</v>
      </c>
      <c r="O7" s="33"/>
      <c r="P7" s="33"/>
      <c r="R7" s="32"/>
    </row>
    <row r="8" spans="1:18">
      <c r="A8" s="6" t="s">
        <v>52</v>
      </c>
      <c r="B8" s="37">
        <f t="shared" si="0"/>
        <v>9182.3349049521112</v>
      </c>
      <c r="C8" s="33"/>
      <c r="D8" s="37">
        <f>IF(ISERROR(TER_handel_gas_kWh/1000),0,TER_handel_gas_kWh/1000)*0.902</f>
        <v>5739.9293935436135</v>
      </c>
      <c r="E8" s="33">
        <f>$C$28*'E Balans VL '!I13/100/3.6*1000000</f>
        <v>333.04215468780211</v>
      </c>
      <c r="F8" s="33">
        <f>$C$28*('E Balans VL '!L13+'E Balans VL '!N13)/100/3.6*1000000</f>
        <v>1768.6106797459861</v>
      </c>
      <c r="G8" s="34"/>
      <c r="H8" s="33"/>
      <c r="I8" s="33"/>
      <c r="J8" s="33">
        <f>$C$28*('E Balans VL '!D13+'E Balans VL '!E13)/100/3.6*1000000</f>
        <v>0</v>
      </c>
      <c r="K8" s="33"/>
      <c r="L8" s="33"/>
      <c r="M8" s="33"/>
      <c r="N8" s="33">
        <f>$C$28*'E Balans VL '!Y13/100/3.6*1000000</f>
        <v>12.719646604393988</v>
      </c>
      <c r="O8" s="33"/>
      <c r="P8" s="33"/>
      <c r="R8" s="32"/>
    </row>
    <row r="9" spans="1:18">
      <c r="A9" s="32" t="s">
        <v>51</v>
      </c>
      <c r="B9" s="37">
        <f t="shared" si="0"/>
        <v>1339.7956386026201</v>
      </c>
      <c r="C9" s="33"/>
      <c r="D9" s="37">
        <f>IF(ISERROR(TER_gezond_gas_kWh/1000),0,TER_gezond_gas_kWh/1000)*0.902</f>
        <v>3381.9526750275763</v>
      </c>
      <c r="E9" s="33">
        <f>$C$29*'E Balans VL '!I10/100/3.6*1000000</f>
        <v>8.3884435068662194E-2</v>
      </c>
      <c r="F9" s="33">
        <f>$C$29*('E Balans VL '!L10+'E Balans VL '!N10)/100/3.6*1000000</f>
        <v>199.03072140364782</v>
      </c>
      <c r="G9" s="34"/>
      <c r="H9" s="33"/>
      <c r="I9" s="33"/>
      <c r="J9" s="33">
        <f>$C$29*('E Balans VL '!D10+'E Balans VL '!E10)/100/3.6*1000000</f>
        <v>0</v>
      </c>
      <c r="K9" s="33"/>
      <c r="L9" s="33"/>
      <c r="M9" s="33"/>
      <c r="N9" s="33">
        <f>$C$29*'E Balans VL '!Y10/100/3.6*1000000</f>
        <v>20.724088217133641</v>
      </c>
      <c r="O9" s="33"/>
      <c r="P9" s="33"/>
      <c r="R9" s="32"/>
    </row>
    <row r="10" spans="1:18">
      <c r="A10" s="32" t="s">
        <v>50</v>
      </c>
      <c r="B10" s="37">
        <f t="shared" si="0"/>
        <v>3061.1757071143002</v>
      </c>
      <c r="C10" s="33"/>
      <c r="D10" s="37">
        <f>IF(ISERROR(TER_ander_gas_kWh/1000),0,TER_ander_gas_kWh/1000)*0.902</f>
        <v>3357.7998450449495</v>
      </c>
      <c r="E10" s="33">
        <f>$C$30*'E Balans VL '!I14/100/3.6*1000000</f>
        <v>3.6488120549437872</v>
      </c>
      <c r="F10" s="33">
        <f>$C$30*('E Balans VL '!L14+'E Balans VL '!N14)/100/3.6*1000000</f>
        <v>800.93965416416711</v>
      </c>
      <c r="G10" s="34"/>
      <c r="H10" s="33"/>
      <c r="I10" s="33"/>
      <c r="J10" s="33">
        <f>$C$30*('E Balans VL '!D14+'E Balans VL '!E14)/100/3.6*1000000</f>
        <v>6.6446125124008659E-2</v>
      </c>
      <c r="K10" s="33"/>
      <c r="L10" s="33"/>
      <c r="M10" s="33"/>
      <c r="N10" s="33">
        <f>$C$30*'E Balans VL '!Y14/100/3.6*1000000</f>
        <v>2599.4755045662864</v>
      </c>
      <c r="O10" s="33"/>
      <c r="P10" s="33"/>
      <c r="R10" s="32"/>
    </row>
    <row r="11" spans="1:18">
      <c r="A11" s="32" t="s">
        <v>55</v>
      </c>
      <c r="B11" s="37">
        <f t="shared" si="0"/>
        <v>5291.0652476318401</v>
      </c>
      <c r="C11" s="33"/>
      <c r="D11" s="37">
        <f>IF(ISERROR(TER_onderwijs_gas_kWh/1000),0,TER_onderwijs_gas_kWh/1000)*0.902</f>
        <v>9981.4894355942506</v>
      </c>
      <c r="E11" s="33">
        <f>$C$31*'E Balans VL '!I11/100/3.6*1000000</f>
        <v>79.833652515822024</v>
      </c>
      <c r="F11" s="33">
        <f>$C$31*('E Balans VL '!L11+'E Balans VL '!N11)/100/3.6*1000000</f>
        <v>927.07915866708765</v>
      </c>
      <c r="G11" s="34"/>
      <c r="H11" s="33"/>
      <c r="I11" s="33"/>
      <c r="J11" s="33">
        <f>$C$31*('E Balans VL '!D11+'E Balans VL '!E11)/100/3.6*1000000</f>
        <v>0</v>
      </c>
      <c r="K11" s="33"/>
      <c r="L11" s="33"/>
      <c r="M11" s="33"/>
      <c r="N11" s="33">
        <f>$C$31*'E Balans VL '!Y11/100/3.6*1000000</f>
        <v>14.889459848934253</v>
      </c>
      <c r="O11" s="33"/>
      <c r="P11" s="33"/>
      <c r="R11" s="32"/>
    </row>
    <row r="12" spans="1:18">
      <c r="A12" s="32" t="s">
        <v>260</v>
      </c>
      <c r="B12" s="37">
        <f t="shared" si="0"/>
        <v>5123.2714494845695</v>
      </c>
      <c r="C12" s="33"/>
      <c r="D12" s="37">
        <f>IF(ISERROR(TER_rest_gas_kWh/1000),0,TER_rest_gas_kWh/1000)*0.902</f>
        <v>5040.9272891864666</v>
      </c>
      <c r="E12" s="33">
        <f>$C$32*'E Balans VL '!I8/100/3.6*1000000</f>
        <v>63.62069450162619</v>
      </c>
      <c r="F12" s="33">
        <f>$C$32*('E Balans VL '!L8+'E Balans VL '!N8)/100/3.6*1000000</f>
        <v>885.94016448210323</v>
      </c>
      <c r="G12" s="34"/>
      <c r="H12" s="33"/>
      <c r="I12" s="33"/>
      <c r="J12" s="33">
        <f>$C$32*('E Balans VL '!D8+'E Balans VL '!E8)/100/3.6*1000000</f>
        <v>1.2406131108459723E-2</v>
      </c>
      <c r="K12" s="33"/>
      <c r="L12" s="33"/>
      <c r="M12" s="33"/>
      <c r="N12" s="33">
        <f>$C$32*'E Balans VL '!Y8/100/3.6*1000000</f>
        <v>496.08972815831544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38921.865184896131</v>
      </c>
      <c r="C16" s="21">
        <f t="shared" ca="1" si="1"/>
        <v>0</v>
      </c>
      <c r="D16" s="21">
        <f t="shared" ca="1" si="1"/>
        <v>47401.702202099805</v>
      </c>
      <c r="E16" s="21">
        <f t="shared" si="1"/>
        <v>510.04726555302875</v>
      </c>
      <c r="F16" s="21">
        <f t="shared" ca="1" si="1"/>
        <v>6775.203439883262</v>
      </c>
      <c r="G16" s="21">
        <f t="shared" si="1"/>
        <v>0</v>
      </c>
      <c r="H16" s="21">
        <f t="shared" si="1"/>
        <v>0</v>
      </c>
      <c r="I16" s="21">
        <f t="shared" si="1"/>
        <v>0</v>
      </c>
      <c r="J16" s="21">
        <f t="shared" si="1"/>
        <v>7.8852256232468387E-2</v>
      </c>
      <c r="K16" s="21">
        <f t="shared" si="1"/>
        <v>0</v>
      </c>
      <c r="L16" s="21">
        <f t="shared" ca="1" si="1"/>
        <v>0</v>
      </c>
      <c r="M16" s="21">
        <f t="shared" si="1"/>
        <v>0</v>
      </c>
      <c r="N16" s="21">
        <f t="shared" ca="1" si="1"/>
        <v>3156.7822042727294</v>
      </c>
      <c r="O16" s="21">
        <f>O5</f>
        <v>9.3800000000000008</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0.21113080109495588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8217.6045765969939</v>
      </c>
      <c r="C20" s="23">
        <f t="shared" ref="C20:P20" ca="1" si="2">C16*C18</f>
        <v>0</v>
      </c>
      <c r="D20" s="23">
        <f t="shared" ca="1" si="2"/>
        <v>9575.1438448241606</v>
      </c>
      <c r="E20" s="23">
        <f t="shared" si="2"/>
        <v>115.78072928053753</v>
      </c>
      <c r="F20" s="23">
        <f t="shared" ca="1" si="2"/>
        <v>1808.979318448831</v>
      </c>
      <c r="G20" s="23">
        <f t="shared" si="2"/>
        <v>0</v>
      </c>
      <c r="H20" s="23">
        <f t="shared" si="2"/>
        <v>0</v>
      </c>
      <c r="I20" s="23">
        <f t="shared" si="2"/>
        <v>0</v>
      </c>
      <c r="J20" s="23">
        <f t="shared" si="2"/>
        <v>2.7913698706293809E-2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12847.554006022699</v>
      </c>
      <c r="C26" s="39">
        <f>IF(ISERROR(B26*3.6/1000000/'E Balans VL '!Z12*100),0,B26*3.6/1000000/'E Balans VL '!Z12*100)</f>
        <v>0.27157693951782641</v>
      </c>
      <c r="D26" s="237" t="s">
        <v>754</v>
      </c>
      <c r="F26" s="6"/>
    </row>
    <row r="27" spans="1:18">
      <c r="A27" s="231" t="s">
        <v>53</v>
      </c>
      <c r="B27" s="33">
        <f>IF(ISERROR(TER_horeca_ele_kWh/1000),0,TER_horeca_ele_kWh/1000)</f>
        <v>2076.6682310879901</v>
      </c>
      <c r="C27" s="39">
        <f>IF(ISERROR(B27*3.6/1000000/'E Balans VL '!Z9*100),0,B27*3.6/1000000/'E Balans VL '!Z9*100)</f>
        <v>0.16370298264290173</v>
      </c>
      <c r="D27" s="237" t="s">
        <v>754</v>
      </c>
      <c r="F27" s="6"/>
    </row>
    <row r="28" spans="1:18">
      <c r="A28" s="171" t="s">
        <v>52</v>
      </c>
      <c r="B28" s="33">
        <f>IF(ISERROR(TER_handel_ele_kWh/1000),0,TER_handel_ele_kWh/1000)</f>
        <v>9182.3349049521112</v>
      </c>
      <c r="C28" s="39">
        <f>IF(ISERROR(B28*3.6/1000000/'E Balans VL '!Z13*100),0,B28*3.6/1000000/'E Balans VL '!Z13*100)</f>
        <v>0.26650845973209636</v>
      </c>
      <c r="D28" s="237" t="s">
        <v>754</v>
      </c>
      <c r="F28" s="6"/>
    </row>
    <row r="29" spans="1:18">
      <c r="A29" s="231" t="s">
        <v>51</v>
      </c>
      <c r="B29" s="33">
        <f>IF(ISERROR(TER_gezond_ele_kWh/1000),0,TER_gezond_ele_kWh/1000)</f>
        <v>1339.7956386026201</v>
      </c>
      <c r="C29" s="39">
        <f>IF(ISERROR(B29*3.6/1000000/'E Balans VL '!Z10*100),0,B29*3.6/1000000/'E Balans VL '!Z10*100)</f>
        <v>0.14110248076995738</v>
      </c>
      <c r="D29" s="237" t="s">
        <v>754</v>
      </c>
      <c r="F29" s="6"/>
    </row>
    <row r="30" spans="1:18">
      <c r="A30" s="231" t="s">
        <v>50</v>
      </c>
      <c r="B30" s="33">
        <f>IF(ISERROR(TER_ander_ele_kWh/1000),0,TER_ander_ele_kWh/1000)</f>
        <v>3061.1757071143002</v>
      </c>
      <c r="C30" s="39">
        <f>IF(ISERROR(B30*3.6/1000000/'E Balans VL '!Z14*100),0,B30*3.6/1000000/'E Balans VL '!Z14*100)</f>
        <v>0.225792985040807</v>
      </c>
      <c r="D30" s="237" t="s">
        <v>754</v>
      </c>
      <c r="F30" s="6"/>
    </row>
    <row r="31" spans="1:18">
      <c r="A31" s="231" t="s">
        <v>55</v>
      </c>
      <c r="B31" s="33">
        <f>IF(ISERROR(TER_onderwijs_ele_kWh/1000),0,TER_onderwijs_ele_kWh/1000)</f>
        <v>5291.0652476318401</v>
      </c>
      <c r="C31" s="39">
        <f>IF(ISERROR(B31*3.6/1000000/'E Balans VL '!Z11*100),0,B31*3.6/1000000/'E Balans VL '!Z11*100)</f>
        <v>1.3140193490794694</v>
      </c>
      <c r="D31" s="237" t="s">
        <v>754</v>
      </c>
    </row>
    <row r="32" spans="1:18">
      <c r="A32" s="231" t="s">
        <v>260</v>
      </c>
      <c r="B32" s="33">
        <f>IF(ISERROR(TER_rest_ele_kWh/1000),0,TER_rest_ele_kWh/1000)</f>
        <v>5123.2714494845695</v>
      </c>
      <c r="C32" s="39">
        <f>IF(ISERROR(B32*3.6/1000000/'E Balans VL '!Z8*100),0,B32*3.6/1000000/'E Balans VL '!Z8*100)</f>
        <v>4.2157723577692666E-2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30206.738715881525</v>
      </c>
      <c r="C5" s="17">
        <f>IF(ISERROR('Eigen informatie GS &amp; warmtenet'!B59),0,'Eigen informatie GS &amp; warmtenet'!B59)</f>
        <v>0</v>
      </c>
      <c r="D5" s="30">
        <f>SUM(D6:D15)</f>
        <v>12134.617846269113</v>
      </c>
      <c r="E5" s="17">
        <f>SUM(E6:E15)</f>
        <v>2036.0117542056419</v>
      </c>
      <c r="F5" s="17">
        <f>SUM(F6:F15)</f>
        <v>6914.4960066908088</v>
      </c>
      <c r="G5" s="18"/>
      <c r="H5" s="17"/>
      <c r="I5" s="17"/>
      <c r="J5" s="17">
        <f>SUM(J6:J15)</f>
        <v>93.662286469553194</v>
      </c>
      <c r="K5" s="17"/>
      <c r="L5" s="17"/>
      <c r="M5" s="17"/>
      <c r="N5" s="17">
        <f>SUM(N6:N15)</f>
        <v>8419.2060859693393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932.43878857531502</v>
      </c>
      <c r="C8" s="33"/>
      <c r="D8" s="37">
        <f>IF( ISERROR(IND_metaal_Gas_kWH/1000),0,IND_metaal_Gas_kWH/1000)*0.902</f>
        <v>782.35641774966996</v>
      </c>
      <c r="E8" s="33">
        <f>C30*'E Balans VL '!I18/100/3.6*1000000</f>
        <v>8.5728741030036826</v>
      </c>
      <c r="F8" s="33">
        <f>C30*'E Balans VL '!L18/100/3.6*1000000+C30*'E Balans VL '!N18/100/3.6*1000000</f>
        <v>87.431714338673856</v>
      </c>
      <c r="G8" s="34"/>
      <c r="H8" s="33"/>
      <c r="I8" s="33"/>
      <c r="J8" s="40">
        <f>C30*'E Balans VL '!D18/100/3.6*1000000+C30*'E Balans VL '!E18/100/3.6*1000000</f>
        <v>0</v>
      </c>
      <c r="K8" s="33"/>
      <c r="L8" s="33"/>
      <c r="M8" s="33"/>
      <c r="N8" s="33">
        <f>C30*'E Balans VL '!Y18/100/3.6*1000000</f>
        <v>13.302780239014746</v>
      </c>
      <c r="O8" s="33"/>
      <c r="P8" s="33"/>
      <c r="R8" s="32"/>
    </row>
    <row r="9" spans="1:18">
      <c r="A9" s="6" t="s">
        <v>33</v>
      </c>
      <c r="B9" s="37">
        <f t="shared" si="0"/>
        <v>1992.17860079873</v>
      </c>
      <c r="C9" s="33"/>
      <c r="D9" s="37">
        <f>IF( ISERROR(IND_andere_gas_kWh/1000),0,IND_andere_gas_kWh/1000)*0.902</f>
        <v>2423.0628612261794</v>
      </c>
      <c r="E9" s="33">
        <f>C31*'E Balans VL '!I19/100/3.6*1000000</f>
        <v>582.35258815638099</v>
      </c>
      <c r="F9" s="33">
        <f>C31*'E Balans VL '!L19/100/3.6*1000000+C31*'E Balans VL '!N19/100/3.6*1000000</f>
        <v>1600.8662998060081</v>
      </c>
      <c r="G9" s="34"/>
      <c r="H9" s="33"/>
      <c r="I9" s="33"/>
      <c r="J9" s="40">
        <f>C31*'E Balans VL '!D19/100/3.6*1000000+C31*'E Balans VL '!E19/100/3.6*1000000</f>
        <v>0</v>
      </c>
      <c r="K9" s="33"/>
      <c r="L9" s="33"/>
      <c r="M9" s="33"/>
      <c r="N9" s="33">
        <f>C31*'E Balans VL '!Y19/100/3.6*1000000</f>
        <v>658.24670620343511</v>
      </c>
      <c r="O9" s="33"/>
      <c r="P9" s="33"/>
      <c r="R9" s="32"/>
    </row>
    <row r="10" spans="1:18">
      <c r="A10" s="6" t="s">
        <v>41</v>
      </c>
      <c r="B10" s="37">
        <f t="shared" si="0"/>
        <v>506.704540871657</v>
      </c>
      <c r="C10" s="33"/>
      <c r="D10" s="37">
        <f>IF( ISERROR(IND_voed_gas_kWh/1000),0,IND_voed_gas_kWh/1000)*0.902</f>
        <v>172.95536047411136</v>
      </c>
      <c r="E10" s="33">
        <f>C32*'E Balans VL '!I20/100/3.6*1000000</f>
        <v>1.0719413127609483</v>
      </c>
      <c r="F10" s="33">
        <f>C32*'E Balans VL '!L20/100/3.6*1000000+C32*'E Balans VL '!N20/100/3.6*1000000</f>
        <v>32.216792292130542</v>
      </c>
      <c r="G10" s="34"/>
      <c r="H10" s="33"/>
      <c r="I10" s="33"/>
      <c r="J10" s="40">
        <f>C32*'E Balans VL '!D20/100/3.6*1000000+C32*'E Balans VL '!E20/100/3.6*1000000</f>
        <v>0</v>
      </c>
      <c r="K10" s="33"/>
      <c r="L10" s="33"/>
      <c r="M10" s="33"/>
      <c r="N10" s="33">
        <f>C32*'E Balans VL '!Y20/100/3.6*1000000</f>
        <v>34.967613602733465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7.2267570986825005</v>
      </c>
      <c r="C12" s="33"/>
      <c r="D12" s="37">
        <f>IF( ISERROR(IND_min_gas_kWh/1000),0,IND_min_gas_kWh/1000)*0.902</f>
        <v>0</v>
      </c>
      <c r="E12" s="33">
        <f>C34*'E Balans VL '!I22/100/3.6*1000000</f>
        <v>0.20947393093231678</v>
      </c>
      <c r="F12" s="33">
        <f>C34*'E Balans VL '!L22/100/3.6*1000000+C34*'E Balans VL '!N22/100/3.6*1000000</f>
        <v>2.4846407547023164</v>
      </c>
      <c r="G12" s="34"/>
      <c r="H12" s="33"/>
      <c r="I12" s="33"/>
      <c r="J12" s="40">
        <f>C34*'E Balans VL '!D22/100/3.6*1000000+C34*'E Balans VL '!E22/100/3.6*1000000</f>
        <v>1.1875739663903024E-2</v>
      </c>
      <c r="K12" s="33"/>
      <c r="L12" s="33"/>
      <c r="M12" s="33"/>
      <c r="N12" s="33">
        <f>C34*'E Balans VL '!Y22/100/3.6*1000000</f>
        <v>1.5820558883060452</v>
      </c>
      <c r="O12" s="33"/>
      <c r="P12" s="33"/>
      <c r="R12" s="32"/>
    </row>
    <row r="13" spans="1:18">
      <c r="A13" s="6" t="s">
        <v>39</v>
      </c>
      <c r="B13" s="37">
        <f t="shared" si="0"/>
        <v>636.20319943334198</v>
      </c>
      <c r="C13" s="33"/>
      <c r="D13" s="37">
        <f>IF( ISERROR(IND_papier_gas_kWh/1000),0,IND_papier_gas_kWh/1000)*0.902</f>
        <v>223.62070287986805</v>
      </c>
      <c r="E13" s="33">
        <f>C35*'E Balans VL '!I23/100/3.6*1000000</f>
        <v>0.9026268414537042</v>
      </c>
      <c r="F13" s="33">
        <f>C35*'E Balans VL '!L23/100/3.6*1000000+C35*'E Balans VL '!N23/100/3.6*1000000</f>
        <v>15.532112376438477</v>
      </c>
      <c r="G13" s="34"/>
      <c r="H13" s="33"/>
      <c r="I13" s="33"/>
      <c r="J13" s="40">
        <f>C35*'E Balans VL '!D23/100/3.6*1000000+C35*'E Balans VL '!E23/100/3.6*1000000</f>
        <v>9.8394797831984446E-2</v>
      </c>
      <c r="K13" s="33"/>
      <c r="L13" s="33"/>
      <c r="M13" s="33"/>
      <c r="N13" s="33">
        <f>C35*'E Balans VL '!Y23/100/3.6*1000000</f>
        <v>1849.2921011112483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26131.9868291038</v>
      </c>
      <c r="C15" s="33"/>
      <c r="D15" s="37">
        <f>IF( ISERROR(IND_rest_gas_kWh/1000),0,IND_rest_gas_kWh/1000)*0.902</f>
        <v>8532.6225039392848</v>
      </c>
      <c r="E15" s="33">
        <f>C37*'E Balans VL '!I15/100/3.6*1000000</f>
        <v>1442.9022498611102</v>
      </c>
      <c r="F15" s="33">
        <f>C37*'E Balans VL '!L15/100/3.6*1000000+C37*'E Balans VL '!N15/100/3.6*1000000</f>
        <v>5175.9644471228557</v>
      </c>
      <c r="G15" s="34"/>
      <c r="H15" s="33"/>
      <c r="I15" s="33"/>
      <c r="J15" s="40">
        <f>C37*'E Balans VL '!D15/100/3.6*1000000+C37*'E Balans VL '!E15/100/3.6*1000000</f>
        <v>93.552015932057301</v>
      </c>
      <c r="K15" s="33"/>
      <c r="L15" s="33"/>
      <c r="M15" s="33"/>
      <c r="N15" s="33">
        <f>C37*'E Balans VL '!Y15/100/3.6*1000000</f>
        <v>5861.8148289246019</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30206.738715881525</v>
      </c>
      <c r="C18" s="21">
        <f>C5+C16</f>
        <v>0</v>
      </c>
      <c r="D18" s="21">
        <f>MAX((D5+D16),0)</f>
        <v>12134.617846269113</v>
      </c>
      <c r="E18" s="21">
        <f>MAX((E5+E16),0)</f>
        <v>2036.0117542056419</v>
      </c>
      <c r="F18" s="21">
        <f>MAX((F5+F16),0)</f>
        <v>6914.4960066908088</v>
      </c>
      <c r="G18" s="21"/>
      <c r="H18" s="21"/>
      <c r="I18" s="21"/>
      <c r="J18" s="21">
        <f>MAX((J5+J16),0)</f>
        <v>93.662286469553194</v>
      </c>
      <c r="K18" s="21"/>
      <c r="L18" s="21">
        <f>MAX((L5+L16),0)</f>
        <v>0</v>
      </c>
      <c r="M18" s="21"/>
      <c r="N18" s="21">
        <f>MAX((N5+N16),0)</f>
        <v>8419.2060859693393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0.21113080109495588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6377.5729435500853</v>
      </c>
      <c r="C22" s="23">
        <f ca="1">C18*C20</f>
        <v>0</v>
      </c>
      <c r="D22" s="23">
        <f>D18*D20</f>
        <v>2451.1928049463609</v>
      </c>
      <c r="E22" s="23">
        <f>E18*E20</f>
        <v>462.1746682046807</v>
      </c>
      <c r="F22" s="23">
        <f>F18*F20</f>
        <v>1846.170433786446</v>
      </c>
      <c r="G22" s="23"/>
      <c r="H22" s="23"/>
      <c r="I22" s="23"/>
      <c r="J22" s="23">
        <f>J18*J20</f>
        <v>33.156449410221832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932.43878857531502</v>
      </c>
      <c r="C30" s="39">
        <f>IF(ISERROR(B30*3.6/1000000/'E Balans VL '!Z18*100),0,B30*3.6/1000000/'E Balans VL '!Z18*100)</f>
        <v>5.2843697077995369E-2</v>
      </c>
      <c r="D30" s="237" t="s">
        <v>754</v>
      </c>
    </row>
    <row r="31" spans="1:18">
      <c r="A31" s="6" t="s">
        <v>33</v>
      </c>
      <c r="B31" s="37">
        <f>IF( ISERROR(IND_ander_ele_kWh/1000),0,IND_ander_ele_kWh/1000)</f>
        <v>1992.17860079873</v>
      </c>
      <c r="C31" s="39">
        <f>IF(ISERROR(B31*3.6/1000000/'E Balans VL '!Z19*100),0,B31*3.6/1000000/'E Balans VL '!Z19*100)</f>
        <v>9.0356926044913605E-2</v>
      </c>
      <c r="D31" s="237" t="s">
        <v>754</v>
      </c>
    </row>
    <row r="32" spans="1:18">
      <c r="A32" s="171" t="s">
        <v>41</v>
      </c>
      <c r="B32" s="37">
        <f>IF( ISERROR(IND_voed_ele_kWh/1000),0,IND_voed_ele_kWh/1000)</f>
        <v>506.704540871657</v>
      </c>
      <c r="C32" s="39">
        <f>IF(ISERROR(B32*3.6/1000000/'E Balans VL '!Z20*100),0,B32*3.6/1000000/'E Balans VL '!Z20*100)</f>
        <v>1.5674671693553636E-2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7.2267570986825005</v>
      </c>
      <c r="C34" s="39">
        <f>IF(ISERROR(B34*3.6/1000000/'E Balans VL '!Z22*100),0,B34*3.6/1000000/'E Balans VL '!Z22*100)</f>
        <v>1.2998681298282476E-3</v>
      </c>
      <c r="D34" s="237" t="s">
        <v>754</v>
      </c>
    </row>
    <row r="35" spans="1:5">
      <c r="A35" s="171" t="s">
        <v>39</v>
      </c>
      <c r="B35" s="37">
        <f>IF( ISERROR(IND_papier_ele_kWh/1000),0,IND_papier_ele_kWh/1000)</f>
        <v>636.20319943334198</v>
      </c>
      <c r="C35" s="39">
        <f>IF(ISERROR(B35*3.6/1000000/'E Balans VL '!Z22*100),0,B35*3.6/1000000/'E Balans VL '!Z22*100)</f>
        <v>0.11443310626683875</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26131.9868291038</v>
      </c>
      <c r="C37" s="39">
        <f>IF(ISERROR(B37*3.6/1000000/'E Balans VL '!Z15*100),0,B37*3.6/1000000/'E Balans VL '!Z15*100)</f>
        <v>0.2071280887526851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1978.3146852047846</v>
      </c>
      <c r="C5" s="17">
        <f>'Eigen informatie GS &amp; warmtenet'!B60</f>
        <v>0</v>
      </c>
      <c r="D5" s="30">
        <f>IF(ISERROR(SUM(LB_lb_gas_kWh,LB_rest_gas_kWh,onbekend_gas_kWh)/1000),0,SUM(LB_lb_gas_kWh,LB_rest_gas_kWh,onbekend_gas_kWh)/1000)*0.902</f>
        <v>10757.742013296216</v>
      </c>
      <c r="E5" s="17">
        <f>B17*'E Balans VL '!I25/3.6*1000000/100</f>
        <v>58.148711068648247</v>
      </c>
      <c r="F5" s="17">
        <f>B17*('E Balans VL '!L25/3.6*1000000+'E Balans VL '!N25/3.6*1000000)/100</f>
        <v>8241.5520760486088</v>
      </c>
      <c r="G5" s="18"/>
      <c r="H5" s="17"/>
      <c r="I5" s="17"/>
      <c r="J5" s="17">
        <f>('E Balans VL '!D25+'E Balans VL '!E25)/3.6*1000000*landbouw!B17/100</f>
        <v>286.61531309198995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1978.3146852047846</v>
      </c>
      <c r="C8" s="21">
        <f>C5+C6</f>
        <v>0</v>
      </c>
      <c r="D8" s="21">
        <f>MAX((D5+D6),0)</f>
        <v>10757.742013296216</v>
      </c>
      <c r="E8" s="21">
        <f>MAX((E5+E6),0)</f>
        <v>58.148711068648247</v>
      </c>
      <c r="F8" s="21">
        <f>MAX((F5+F6),0)</f>
        <v>8241.5520760486088</v>
      </c>
      <c r="G8" s="21"/>
      <c r="H8" s="21"/>
      <c r="I8" s="21"/>
      <c r="J8" s="21">
        <f>MAX((J5+J6),0)</f>
        <v>286.61531309198995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0.21113080109495588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417.68316430520161</v>
      </c>
      <c r="C12" s="23">
        <f ca="1">C8*C10</f>
        <v>0</v>
      </c>
      <c r="D12" s="23">
        <f>D8*D10</f>
        <v>2173.0638866858358</v>
      </c>
      <c r="E12" s="23">
        <f>E8*E10</f>
        <v>13.199757412583152</v>
      </c>
      <c r="F12" s="23">
        <f>F8*F10</f>
        <v>2200.4944043049786</v>
      </c>
      <c r="G12" s="23"/>
      <c r="H12" s="23"/>
      <c r="I12" s="23"/>
      <c r="J12" s="23">
        <f>J8*J10</f>
        <v>101.46182083456443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0.28072906060359654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114.93961957800134</v>
      </c>
      <c r="C26" s="247">
        <f>B26*'GWP N2O_CH4'!B5</f>
        <v>2413.7320111380282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13.195800005512922</v>
      </c>
      <c r="C27" s="247">
        <f>B27*'GWP N2O_CH4'!B5</f>
        <v>277.11180011577136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1.4939416366810923</v>
      </c>
      <c r="C28" s="247">
        <f>B28*'GWP N2O_CH4'!B4</f>
        <v>463.1219073711386</v>
      </c>
      <c r="D28" s="50"/>
    </row>
    <row r="29" spans="1:4">
      <c r="A29" s="41" t="s">
        <v>277</v>
      </c>
      <c r="B29" s="247">
        <f>B34*'ha_N2O bodem landbouw'!B4</f>
        <v>9.039184829311095</v>
      </c>
      <c r="C29" s="247">
        <f>B29*'GWP N2O_CH4'!B4</f>
        <v>2802.1472970864393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2.0627108276320789E-3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3.3394780586053999E-4</v>
      </c>
      <c r="C5" s="463" t="s">
        <v>211</v>
      </c>
      <c r="D5" s="448">
        <f>SUM(D6:D11)</f>
        <v>1.1937681380573743E-3</v>
      </c>
      <c r="E5" s="448">
        <f>SUM(E6:E11)</f>
        <v>1.7705046973330264E-3</v>
      </c>
      <c r="F5" s="461" t="s">
        <v>211</v>
      </c>
      <c r="G5" s="448">
        <f>SUM(G6:G11)</f>
        <v>0.60869381109899434</v>
      </c>
      <c r="H5" s="448">
        <f>SUM(H6:H11)</f>
        <v>0.13710040525267994</v>
      </c>
      <c r="I5" s="463" t="s">
        <v>211</v>
      </c>
      <c r="J5" s="463" t="s">
        <v>211</v>
      </c>
      <c r="K5" s="463" t="s">
        <v>211</v>
      </c>
      <c r="L5" s="463" t="s">
        <v>211</v>
      </c>
      <c r="M5" s="448">
        <f>SUM(M6:M11)</f>
        <v>3.9632337504075105E-2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9.1900940286745666E-5</v>
      </c>
      <c r="C6" s="449"/>
      <c r="D6" s="962">
        <f>vkm_2011_GW_PW*SUMIFS(TableVerdeelsleutelVkm[CNG],TableVerdeelsleutelVkm[Voertuigtype],"Lichte voertuigen")*SUMIFS(TableECFTransport[EnergieConsumptieFactor (PJ per km)],TableECFTransport[Index],CONCATENATE($A6,"_CNG_CNG"))</f>
        <v>2.7565007451837178E-4</v>
      </c>
      <c r="E6" s="962">
        <f>vkm_2011_GW_PW*SUMIFS(TableVerdeelsleutelVkm[LPG],TableVerdeelsleutelVkm[Voertuigtype],"Lichte voertuigen")*SUMIFS(TableECFTransport[EnergieConsumptieFactor (PJ per km)],TableECFTransport[Index],CONCATENATE($A6,"_LPG_LPG"))</f>
        <v>3.7657759697396051E-4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9.7365703992113958E-2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3.1346540532174172E-2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6.618906090299307E-3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4.2293244698234027E-2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1.2887867017331984E-5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2.4714767854200387E-3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7.2279789518841313E-5</v>
      </c>
      <c r="C8" s="449"/>
      <c r="D8" s="451">
        <f>vkm_2011_NGW_PW*SUMIFS(TableVerdeelsleutelVkm[CNG],TableVerdeelsleutelVkm[Voertuigtype],"Lichte voertuigen")*SUMIFS(TableECFTransport[EnergieConsumptieFactor (PJ per km)],TableECFTransport[Index],CONCATENATE($A8,"_CNG_CNG"))</f>
        <v>3.8546906592125792E-4</v>
      </c>
      <c r="E8" s="451">
        <f>vkm_2011_NGW_PW*SUMIFS(TableVerdeelsleutelVkm[LPG],TableVerdeelsleutelVkm[Voertuigtype],"Lichte voertuigen")*SUMIFS(TableECFTransport[EnergieConsumptieFactor (PJ per km)],TableECFTransport[Index],CONCATENATE($A8,"_LPG_LPG"))</f>
        <v>4.876970175306385E-4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0.11750821602279918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4.2598021292836054E-2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8.1296191216642059E-3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3.232889640869744E-2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9.2743049635182594E-6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1.8891762334847272E-3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1.69767076054953E-4</v>
      </c>
      <c r="C10" s="449"/>
      <c r="D10" s="451">
        <f>vkm_2011_SW_PW*SUMIFS(TableVerdeelsleutelVkm[CNG],TableVerdeelsleutelVkm[Voertuigtype],"Lichte voertuigen")*SUMIFS(TableECFTransport[EnergieConsumptieFactor (PJ per km)],TableECFTransport[Index],CONCATENATE($A10,"_CNG_CNG"))</f>
        <v>5.3264899761774464E-4</v>
      </c>
      <c r="E10" s="451">
        <f>vkm_2011_SW_PW*SUMIFS(TableVerdeelsleutelVkm[LPG],TableVerdeelsleutelVkm[Voertuigtype],"Lichte voertuigen")*SUMIFS(TableECFTransport[EnergieConsumptieFactor (PJ per km)],TableECFTransport[Index],CONCATENATE($A10,"_LPG_LPG"))</f>
        <v>9.0623008282842722E-4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0.20888808733526468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6.3097381548273074E-2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1.4076949194066816E-2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0.11030966264188506</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3.6299707415778658E-5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6.4462100791400113E-3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92.763279405705561</v>
      </c>
      <c r="C14" s="21"/>
      <c r="D14" s="21">
        <f t="shared" ref="D14:M14" si="0">((D5)*10^9/3600)+D12</f>
        <v>331.60226057149288</v>
      </c>
      <c r="E14" s="21">
        <f t="shared" si="0"/>
        <v>491.80686037028511</v>
      </c>
      <c r="F14" s="21"/>
      <c r="G14" s="21">
        <f t="shared" si="0"/>
        <v>169081.6141941651</v>
      </c>
      <c r="H14" s="21">
        <f t="shared" si="0"/>
        <v>38083.44590352221</v>
      </c>
      <c r="I14" s="21"/>
      <c r="J14" s="21"/>
      <c r="K14" s="21"/>
      <c r="L14" s="21"/>
      <c r="M14" s="21">
        <f t="shared" si="0"/>
        <v>11008.982640020862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0.21113080109495588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19.585185493121838</v>
      </c>
      <c r="C18" s="23"/>
      <c r="D18" s="23">
        <f t="shared" ref="D18:M18" si="1">D14*D16</f>
        <v>66.983656635441562</v>
      </c>
      <c r="E18" s="23">
        <f t="shared" si="1"/>
        <v>111.64015730405472</v>
      </c>
      <c r="F18" s="23"/>
      <c r="G18" s="23">
        <f t="shared" si="1"/>
        <v>45144.790989842084</v>
      </c>
      <c r="H18" s="23">
        <f t="shared" si="1"/>
        <v>9482.7780299770311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1.1169692610828745E-2</v>
      </c>
      <c r="H50" s="321">
        <f t="shared" si="2"/>
        <v>0</v>
      </c>
      <c r="I50" s="321">
        <f t="shared" si="2"/>
        <v>0</v>
      </c>
      <c r="J50" s="321">
        <f t="shared" si="2"/>
        <v>0</v>
      </c>
      <c r="K50" s="321">
        <f t="shared" si="2"/>
        <v>0</v>
      </c>
      <c r="L50" s="321">
        <f t="shared" si="2"/>
        <v>0</v>
      </c>
      <c r="M50" s="321">
        <f t="shared" si="2"/>
        <v>6.3438923083385026E-4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1.1169692610828745E-2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6.3438923083385026E-4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3102.6923918968741</v>
      </c>
      <c r="H54" s="21">
        <f t="shared" si="3"/>
        <v>0</v>
      </c>
      <c r="I54" s="21">
        <f t="shared" si="3"/>
        <v>0</v>
      </c>
      <c r="J54" s="21">
        <f t="shared" si="3"/>
        <v>0</v>
      </c>
      <c r="K54" s="21">
        <f t="shared" si="3"/>
        <v>0</v>
      </c>
      <c r="L54" s="21">
        <f t="shared" si="3"/>
        <v>0</v>
      </c>
      <c r="M54" s="21">
        <f t="shared" si="3"/>
        <v>176.21923078718061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0.21113080109495588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828.41886863646539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5284.7978382062274</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5284.7978382062274</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40821.461184896129</v>
      </c>
      <c r="D10" s="718">
        <f ca="1">tertiair!C16</f>
        <v>0</v>
      </c>
      <c r="E10" s="718">
        <f ca="1">tertiair!D16</f>
        <v>47401.702202099805</v>
      </c>
      <c r="F10" s="718">
        <f>tertiair!E16</f>
        <v>510.04726555302875</v>
      </c>
      <c r="G10" s="718">
        <f ca="1">tertiair!F16</f>
        <v>6775.203439883262</v>
      </c>
      <c r="H10" s="718">
        <f>tertiair!G16</f>
        <v>0</v>
      </c>
      <c r="I10" s="718">
        <f>tertiair!H16</f>
        <v>0</v>
      </c>
      <c r="J10" s="718">
        <f>tertiair!I16</f>
        <v>0</v>
      </c>
      <c r="K10" s="718">
        <f>tertiair!J16</f>
        <v>7.8852256232468387E-2</v>
      </c>
      <c r="L10" s="718">
        <f>tertiair!K16</f>
        <v>0</v>
      </c>
      <c r="M10" s="718">
        <f ca="1">tertiair!L16</f>
        <v>0</v>
      </c>
      <c r="N10" s="718">
        <f>tertiair!M16</f>
        <v>0</v>
      </c>
      <c r="O10" s="718">
        <f ca="1">tertiair!N16</f>
        <v>3156.7822042727294</v>
      </c>
      <c r="P10" s="718">
        <f>tertiair!O16</f>
        <v>9.3800000000000008</v>
      </c>
      <c r="Q10" s="719">
        <f>tertiair!P16</f>
        <v>57.2</v>
      </c>
      <c r="R10" s="721">
        <f ca="1">SUM(C10:Q10)</f>
        <v>98731.8551489612</v>
      </c>
      <c r="S10" s="67"/>
    </row>
    <row r="11" spans="1:19" s="474" customFormat="1">
      <c r="A11" s="870" t="s">
        <v>225</v>
      </c>
      <c r="B11" s="875"/>
      <c r="C11" s="718">
        <f>huishoudens!B8</f>
        <v>45242.680127437998</v>
      </c>
      <c r="D11" s="718">
        <f>huishoudens!C8</f>
        <v>0</v>
      </c>
      <c r="E11" s="718">
        <f>huishoudens!D8</f>
        <v>101780.92362907169</v>
      </c>
      <c r="F11" s="718">
        <f>huishoudens!E8</f>
        <v>4044.6148456292835</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16173.024648520723</v>
      </c>
      <c r="P11" s="718">
        <f>huishoudens!O8</f>
        <v>630.02333333333343</v>
      </c>
      <c r="Q11" s="719">
        <f>huishoudens!P8</f>
        <v>1239.3333333333333</v>
      </c>
      <c r="R11" s="721">
        <f>SUM(C11:Q11)</f>
        <v>169110.59991732638</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30206.738715881525</v>
      </c>
      <c r="D13" s="718">
        <f>industrie!C18</f>
        <v>0</v>
      </c>
      <c r="E13" s="718">
        <f>industrie!D18</f>
        <v>12134.617846269113</v>
      </c>
      <c r="F13" s="718">
        <f>industrie!E18</f>
        <v>2036.0117542056419</v>
      </c>
      <c r="G13" s="718">
        <f>industrie!F18</f>
        <v>6914.4960066908088</v>
      </c>
      <c r="H13" s="718">
        <f>industrie!G18</f>
        <v>0</v>
      </c>
      <c r="I13" s="718">
        <f>industrie!H18</f>
        <v>0</v>
      </c>
      <c r="J13" s="718">
        <f>industrie!I18</f>
        <v>0</v>
      </c>
      <c r="K13" s="718">
        <f>industrie!J18</f>
        <v>93.662286469553194</v>
      </c>
      <c r="L13" s="718">
        <f>industrie!K18</f>
        <v>0</v>
      </c>
      <c r="M13" s="718">
        <f>industrie!L18</f>
        <v>0</v>
      </c>
      <c r="N13" s="718">
        <f>industrie!M18</f>
        <v>0</v>
      </c>
      <c r="O13" s="718">
        <f>industrie!N18</f>
        <v>8419.2060859693393</v>
      </c>
      <c r="P13" s="718">
        <f>industrie!O18</f>
        <v>0</v>
      </c>
      <c r="Q13" s="719">
        <f>industrie!P18</f>
        <v>0</v>
      </c>
      <c r="R13" s="721">
        <f>SUM(C13:Q13)</f>
        <v>59804.732695485982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116270.88002821566</v>
      </c>
      <c r="D15" s="723">
        <f t="shared" ref="D15:Q15" ca="1" si="0">SUM(D9:D14)</f>
        <v>0</v>
      </c>
      <c r="E15" s="723">
        <f t="shared" ca="1" si="0"/>
        <v>161317.24367744059</v>
      </c>
      <c r="F15" s="723">
        <f t="shared" si="0"/>
        <v>6590.6738653879547</v>
      </c>
      <c r="G15" s="723">
        <f t="shared" ca="1" si="0"/>
        <v>13689.699446574072</v>
      </c>
      <c r="H15" s="723">
        <f t="shared" si="0"/>
        <v>0</v>
      </c>
      <c r="I15" s="723">
        <f t="shared" si="0"/>
        <v>0</v>
      </c>
      <c r="J15" s="723">
        <f t="shared" si="0"/>
        <v>0</v>
      </c>
      <c r="K15" s="723">
        <f t="shared" si="0"/>
        <v>93.74113872578566</v>
      </c>
      <c r="L15" s="723">
        <f t="shared" si="0"/>
        <v>0</v>
      </c>
      <c r="M15" s="723">
        <f t="shared" ca="1" si="0"/>
        <v>0</v>
      </c>
      <c r="N15" s="723">
        <f t="shared" si="0"/>
        <v>0</v>
      </c>
      <c r="O15" s="723">
        <f t="shared" ca="1" si="0"/>
        <v>27749.012938762789</v>
      </c>
      <c r="P15" s="723">
        <f t="shared" si="0"/>
        <v>639.40333333333342</v>
      </c>
      <c r="Q15" s="724">
        <f t="shared" si="0"/>
        <v>1296.5333333333333</v>
      </c>
      <c r="R15" s="725">
        <f ca="1">SUM(R9:R14)</f>
        <v>327647.18776177359</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3102.6923918968741</v>
      </c>
      <c r="I18" s="718">
        <f>transport!H54</f>
        <v>0</v>
      </c>
      <c r="J18" s="718">
        <f>transport!I54</f>
        <v>0</v>
      </c>
      <c r="K18" s="718">
        <f>transport!J54</f>
        <v>0</v>
      </c>
      <c r="L18" s="718">
        <f>transport!K54</f>
        <v>0</v>
      </c>
      <c r="M18" s="718">
        <f>transport!L54</f>
        <v>0</v>
      </c>
      <c r="N18" s="718">
        <f>transport!M54</f>
        <v>176.21923078718061</v>
      </c>
      <c r="O18" s="718">
        <f>transport!N54</f>
        <v>0</v>
      </c>
      <c r="P18" s="718">
        <f>transport!O54</f>
        <v>0</v>
      </c>
      <c r="Q18" s="719">
        <f>transport!P54</f>
        <v>0</v>
      </c>
      <c r="R18" s="721">
        <f>SUM(C18:Q18)</f>
        <v>3278.9116226840547</v>
      </c>
      <c r="S18" s="67"/>
    </row>
    <row r="19" spans="1:19" s="474" customFormat="1" ht="15" thickBot="1">
      <c r="A19" s="870" t="s">
        <v>307</v>
      </c>
      <c r="B19" s="875"/>
      <c r="C19" s="727">
        <f>transport!B14</f>
        <v>92.763279405705561</v>
      </c>
      <c r="D19" s="727">
        <f>transport!C14</f>
        <v>0</v>
      </c>
      <c r="E19" s="727">
        <f>transport!D14</f>
        <v>331.60226057149288</v>
      </c>
      <c r="F19" s="727">
        <f>transport!E14</f>
        <v>491.80686037028511</v>
      </c>
      <c r="G19" s="727">
        <f>transport!F14</f>
        <v>0</v>
      </c>
      <c r="H19" s="727">
        <f>transport!G14</f>
        <v>169081.6141941651</v>
      </c>
      <c r="I19" s="727">
        <f>transport!H14</f>
        <v>38083.44590352221</v>
      </c>
      <c r="J19" s="727">
        <f>transport!I14</f>
        <v>0</v>
      </c>
      <c r="K19" s="727">
        <f>transport!J14</f>
        <v>0</v>
      </c>
      <c r="L19" s="727">
        <f>transport!K14</f>
        <v>0</v>
      </c>
      <c r="M19" s="727">
        <f>transport!L14</f>
        <v>0</v>
      </c>
      <c r="N19" s="727">
        <f>transport!M14</f>
        <v>11008.982640020862</v>
      </c>
      <c r="O19" s="727">
        <f>transport!N14</f>
        <v>0</v>
      </c>
      <c r="P19" s="727">
        <f>transport!O14</f>
        <v>0</v>
      </c>
      <c r="Q19" s="728">
        <f>transport!P14</f>
        <v>0</v>
      </c>
      <c r="R19" s="729">
        <f>SUM(C19:Q19)</f>
        <v>219090.21513805565</v>
      </c>
      <c r="S19" s="67"/>
    </row>
    <row r="20" spans="1:19" s="474" customFormat="1" ht="15.75" thickBot="1">
      <c r="A20" s="730" t="s">
        <v>230</v>
      </c>
      <c r="B20" s="878"/>
      <c r="C20" s="873">
        <f>SUM(C17:C19)</f>
        <v>92.763279405705561</v>
      </c>
      <c r="D20" s="731">
        <f t="shared" ref="D20:R20" si="1">SUM(D17:D19)</f>
        <v>0</v>
      </c>
      <c r="E20" s="731">
        <f t="shared" si="1"/>
        <v>331.60226057149288</v>
      </c>
      <c r="F20" s="731">
        <f t="shared" si="1"/>
        <v>491.80686037028511</v>
      </c>
      <c r="G20" s="731">
        <f t="shared" si="1"/>
        <v>0</v>
      </c>
      <c r="H20" s="731">
        <f t="shared" si="1"/>
        <v>172184.30658606198</v>
      </c>
      <c r="I20" s="731">
        <f t="shared" si="1"/>
        <v>38083.44590352221</v>
      </c>
      <c r="J20" s="731">
        <f t="shared" si="1"/>
        <v>0</v>
      </c>
      <c r="K20" s="731">
        <f t="shared" si="1"/>
        <v>0</v>
      </c>
      <c r="L20" s="731">
        <f t="shared" si="1"/>
        <v>0</v>
      </c>
      <c r="M20" s="731">
        <f t="shared" si="1"/>
        <v>0</v>
      </c>
      <c r="N20" s="731">
        <f t="shared" si="1"/>
        <v>11185.201870808043</v>
      </c>
      <c r="O20" s="731">
        <f t="shared" si="1"/>
        <v>0</v>
      </c>
      <c r="P20" s="731">
        <f t="shared" si="1"/>
        <v>0</v>
      </c>
      <c r="Q20" s="732">
        <f t="shared" si="1"/>
        <v>0</v>
      </c>
      <c r="R20" s="733">
        <f t="shared" si="1"/>
        <v>222369.12676073969</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1978.3146852047846</v>
      </c>
      <c r="D22" s="727">
        <f>+landbouw!C8</f>
        <v>0</v>
      </c>
      <c r="E22" s="727">
        <f>+landbouw!D8</f>
        <v>10757.742013296216</v>
      </c>
      <c r="F22" s="727">
        <f>+landbouw!E8</f>
        <v>58.148711068648247</v>
      </c>
      <c r="G22" s="727">
        <f>+landbouw!F8</f>
        <v>8241.5520760486088</v>
      </c>
      <c r="H22" s="727">
        <f>+landbouw!G8</f>
        <v>0</v>
      </c>
      <c r="I22" s="727">
        <f>+landbouw!H8</f>
        <v>0</v>
      </c>
      <c r="J22" s="727">
        <f>+landbouw!I8</f>
        <v>0</v>
      </c>
      <c r="K22" s="727">
        <f>+landbouw!J8</f>
        <v>286.61531309198995</v>
      </c>
      <c r="L22" s="727">
        <f>+landbouw!K8</f>
        <v>0</v>
      </c>
      <c r="M22" s="727">
        <f>+landbouw!L8</f>
        <v>0</v>
      </c>
      <c r="N22" s="727">
        <f>+landbouw!M8</f>
        <v>0</v>
      </c>
      <c r="O22" s="727">
        <f>+landbouw!N8</f>
        <v>0</v>
      </c>
      <c r="P22" s="727">
        <f>+landbouw!O8</f>
        <v>0</v>
      </c>
      <c r="Q22" s="728">
        <f>+landbouw!P8</f>
        <v>0</v>
      </c>
      <c r="R22" s="729">
        <f>SUM(C22:Q22)</f>
        <v>21322.372798710247</v>
      </c>
      <c r="S22" s="67"/>
    </row>
    <row r="23" spans="1:19" s="474" customFormat="1" ht="17.25" thickTop="1" thickBot="1">
      <c r="A23" s="734" t="s">
        <v>116</v>
      </c>
      <c r="B23" s="864"/>
      <c r="C23" s="735">
        <f ca="1">C20+C15+C22</f>
        <v>118341.95799282614</v>
      </c>
      <c r="D23" s="735">
        <f t="shared" ref="D23:Q23" ca="1" si="2">D20+D15+D22</f>
        <v>0</v>
      </c>
      <c r="E23" s="735">
        <f t="shared" ca="1" si="2"/>
        <v>172406.58795130832</v>
      </c>
      <c r="F23" s="735">
        <f t="shared" si="2"/>
        <v>7140.6294368268882</v>
      </c>
      <c r="G23" s="735">
        <f t="shared" ca="1" si="2"/>
        <v>21931.251522622682</v>
      </c>
      <c r="H23" s="735">
        <f t="shared" si="2"/>
        <v>172184.30658606198</v>
      </c>
      <c r="I23" s="735">
        <f t="shared" si="2"/>
        <v>38083.44590352221</v>
      </c>
      <c r="J23" s="735">
        <f t="shared" si="2"/>
        <v>0</v>
      </c>
      <c r="K23" s="735">
        <f t="shared" si="2"/>
        <v>380.35645181777562</v>
      </c>
      <c r="L23" s="735">
        <f t="shared" si="2"/>
        <v>0</v>
      </c>
      <c r="M23" s="735">
        <f t="shared" ca="1" si="2"/>
        <v>0</v>
      </c>
      <c r="N23" s="735">
        <f t="shared" si="2"/>
        <v>11185.201870808043</v>
      </c>
      <c r="O23" s="735">
        <f t="shared" ca="1" si="2"/>
        <v>27749.012938762789</v>
      </c>
      <c r="P23" s="735">
        <f t="shared" si="2"/>
        <v>639.40333333333342</v>
      </c>
      <c r="Q23" s="736">
        <f t="shared" si="2"/>
        <v>1296.5333333333333</v>
      </c>
      <c r="R23" s="737">
        <f ca="1">R20+R15+R22</f>
        <v>571338.68732122355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8618.667801833768</v>
      </c>
      <c r="D36" s="718">
        <f ca="1">tertiair!C20</f>
        <v>0</v>
      </c>
      <c r="E36" s="718">
        <f ca="1">tertiair!D20</f>
        <v>9575.1438448241606</v>
      </c>
      <c r="F36" s="718">
        <f>tertiair!E20</f>
        <v>115.78072928053753</v>
      </c>
      <c r="G36" s="718">
        <f ca="1">tertiair!F20</f>
        <v>1808.979318448831</v>
      </c>
      <c r="H36" s="718">
        <f>tertiair!G20</f>
        <v>0</v>
      </c>
      <c r="I36" s="718">
        <f>tertiair!H20</f>
        <v>0</v>
      </c>
      <c r="J36" s="718">
        <f>tertiair!I20</f>
        <v>0</v>
      </c>
      <c r="K36" s="718">
        <f>tertiair!J20</f>
        <v>2.7913698706293809E-2</v>
      </c>
      <c r="L36" s="718">
        <f>tertiair!K20</f>
        <v>0</v>
      </c>
      <c r="M36" s="718">
        <f ca="1">tertiair!L20</f>
        <v>0</v>
      </c>
      <c r="N36" s="718">
        <f>tertiair!M20</f>
        <v>0</v>
      </c>
      <c r="O36" s="718">
        <f ca="1">tertiair!N20</f>
        <v>0</v>
      </c>
      <c r="P36" s="718">
        <f>tertiair!O20</f>
        <v>0</v>
      </c>
      <c r="Q36" s="828">
        <f>tertiair!P20</f>
        <v>0</v>
      </c>
      <c r="R36" s="917">
        <f ca="1">SUM(C36:Q36)</f>
        <v>20118.599608086002</v>
      </c>
    </row>
    <row r="37" spans="1:18">
      <c r="A37" s="885" t="s">
        <v>225</v>
      </c>
      <c r="B37" s="892"/>
      <c r="C37" s="718">
        <f ca="1">huishoudens!B12</f>
        <v>9552.1232989888249</v>
      </c>
      <c r="D37" s="718">
        <f ca="1">huishoudens!C12</f>
        <v>0</v>
      </c>
      <c r="E37" s="718">
        <f>huishoudens!D12</f>
        <v>20559.746573072483</v>
      </c>
      <c r="F37" s="718">
        <f>huishoudens!E12</f>
        <v>918.12756995784741</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31029.997442019157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6377.5729435500853</v>
      </c>
      <c r="D39" s="718">
        <f ca="1">industrie!C22</f>
        <v>0</v>
      </c>
      <c r="E39" s="718">
        <f>industrie!D22</f>
        <v>2451.1928049463609</v>
      </c>
      <c r="F39" s="718">
        <f>industrie!E22</f>
        <v>462.1746682046807</v>
      </c>
      <c r="G39" s="718">
        <f>industrie!F22</f>
        <v>1846.170433786446</v>
      </c>
      <c r="H39" s="718">
        <f>industrie!G22</f>
        <v>0</v>
      </c>
      <c r="I39" s="718">
        <f>industrie!H22</f>
        <v>0</v>
      </c>
      <c r="J39" s="718">
        <f>industrie!I22</f>
        <v>0</v>
      </c>
      <c r="K39" s="718">
        <f>industrie!J22</f>
        <v>33.156449410221832</v>
      </c>
      <c r="L39" s="718">
        <f>industrie!K22</f>
        <v>0</v>
      </c>
      <c r="M39" s="718">
        <f>industrie!L22</f>
        <v>0</v>
      </c>
      <c r="N39" s="718">
        <f>industrie!M22</f>
        <v>0</v>
      </c>
      <c r="O39" s="718">
        <f>industrie!N22</f>
        <v>0</v>
      </c>
      <c r="P39" s="718">
        <f>industrie!O22</f>
        <v>0</v>
      </c>
      <c r="Q39" s="828">
        <f>industrie!P22</f>
        <v>0</v>
      </c>
      <c r="R39" s="918">
        <f ca="1">SUM(C39:Q39)</f>
        <v>11170.267299897796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24548.364044372676</v>
      </c>
      <c r="D41" s="763">
        <f t="shared" ref="D41:R41" ca="1" si="4">SUM(D35:D40)</f>
        <v>0</v>
      </c>
      <c r="E41" s="763">
        <f t="shared" ca="1" si="4"/>
        <v>32586.083222843004</v>
      </c>
      <c r="F41" s="763">
        <f t="shared" si="4"/>
        <v>1496.0829674430656</v>
      </c>
      <c r="G41" s="763">
        <f t="shared" ca="1" si="4"/>
        <v>3655.149752235277</v>
      </c>
      <c r="H41" s="763">
        <f t="shared" si="4"/>
        <v>0</v>
      </c>
      <c r="I41" s="763">
        <f t="shared" si="4"/>
        <v>0</v>
      </c>
      <c r="J41" s="763">
        <f t="shared" si="4"/>
        <v>0</v>
      </c>
      <c r="K41" s="763">
        <f t="shared" si="4"/>
        <v>33.184363108928125</v>
      </c>
      <c r="L41" s="763">
        <f t="shared" si="4"/>
        <v>0</v>
      </c>
      <c r="M41" s="763">
        <f t="shared" ca="1" si="4"/>
        <v>0</v>
      </c>
      <c r="N41" s="763">
        <f t="shared" si="4"/>
        <v>0</v>
      </c>
      <c r="O41" s="763">
        <f t="shared" ca="1" si="4"/>
        <v>0</v>
      </c>
      <c r="P41" s="763">
        <f t="shared" si="4"/>
        <v>0</v>
      </c>
      <c r="Q41" s="764">
        <f t="shared" si="4"/>
        <v>0</v>
      </c>
      <c r="R41" s="765">
        <f t="shared" ca="1" si="4"/>
        <v>62318.864350002958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828.41886863646539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828.41886863646539</v>
      </c>
    </row>
    <row r="45" spans="1:18" ht="15" thickBot="1">
      <c r="A45" s="888" t="s">
        <v>307</v>
      </c>
      <c r="B45" s="898"/>
      <c r="C45" s="727">
        <f ca="1">transport!B18</f>
        <v>19.585185493121838</v>
      </c>
      <c r="D45" s="727">
        <f>transport!C18</f>
        <v>0</v>
      </c>
      <c r="E45" s="727">
        <f>transport!D18</f>
        <v>66.983656635441562</v>
      </c>
      <c r="F45" s="727">
        <f>transport!E18</f>
        <v>111.64015730405472</v>
      </c>
      <c r="G45" s="727">
        <f>transport!F18</f>
        <v>0</v>
      </c>
      <c r="H45" s="727">
        <f>transport!G18</f>
        <v>45144.790989842084</v>
      </c>
      <c r="I45" s="727">
        <f>transport!H18</f>
        <v>9482.7780299770311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54825.778019251731</v>
      </c>
    </row>
    <row r="46" spans="1:18" ht="15.75" thickBot="1">
      <c r="A46" s="886" t="s">
        <v>230</v>
      </c>
      <c r="B46" s="899"/>
      <c r="C46" s="763">
        <f t="shared" ref="C46:R46" ca="1" si="5">SUM(C43:C45)</f>
        <v>19.585185493121838</v>
      </c>
      <c r="D46" s="763">
        <f t="shared" ca="1" si="5"/>
        <v>0</v>
      </c>
      <c r="E46" s="763">
        <f t="shared" si="5"/>
        <v>66.983656635441562</v>
      </c>
      <c r="F46" s="763">
        <f t="shared" si="5"/>
        <v>111.64015730405472</v>
      </c>
      <c r="G46" s="763">
        <f t="shared" si="5"/>
        <v>0</v>
      </c>
      <c r="H46" s="763">
        <f t="shared" si="5"/>
        <v>45973.209858478549</v>
      </c>
      <c r="I46" s="763">
        <f t="shared" si="5"/>
        <v>9482.7780299770311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55654.196887888196</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417.68316430520161</v>
      </c>
      <c r="D48" s="718">
        <f ca="1">+landbouw!C12</f>
        <v>0</v>
      </c>
      <c r="E48" s="718">
        <f>+landbouw!D12</f>
        <v>2173.0638866858358</v>
      </c>
      <c r="F48" s="718">
        <f>+landbouw!E12</f>
        <v>13.199757412583152</v>
      </c>
      <c r="G48" s="718">
        <f>+landbouw!F12</f>
        <v>2200.4944043049786</v>
      </c>
      <c r="H48" s="718">
        <f>+landbouw!G12</f>
        <v>0</v>
      </c>
      <c r="I48" s="718">
        <f>+landbouw!H12</f>
        <v>0</v>
      </c>
      <c r="J48" s="718">
        <f>+landbouw!I12</f>
        <v>0</v>
      </c>
      <c r="K48" s="718">
        <f>+landbouw!J12</f>
        <v>101.46182083456443</v>
      </c>
      <c r="L48" s="718">
        <f>+landbouw!K12</f>
        <v>0</v>
      </c>
      <c r="M48" s="718">
        <f>+landbouw!L12</f>
        <v>0</v>
      </c>
      <c r="N48" s="718">
        <f>+landbouw!M12</f>
        <v>0</v>
      </c>
      <c r="O48" s="718">
        <f>+landbouw!N12</f>
        <v>0</v>
      </c>
      <c r="P48" s="718">
        <f>+landbouw!O12</f>
        <v>0</v>
      </c>
      <c r="Q48" s="719">
        <f>+landbouw!P12</f>
        <v>0</v>
      </c>
      <c r="R48" s="761">
        <f ca="1">SUM(C48:Q48)</f>
        <v>4905.9030335431635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24985.632394171</v>
      </c>
      <c r="D53" s="773">
        <f t="shared" ref="D53:Q53" ca="1" si="6">D41+D46+D48</f>
        <v>0</v>
      </c>
      <c r="E53" s="773">
        <f t="shared" ca="1" si="6"/>
        <v>34826.130766164286</v>
      </c>
      <c r="F53" s="773">
        <f t="shared" si="6"/>
        <v>1620.9228821597035</v>
      </c>
      <c r="G53" s="773">
        <f t="shared" ca="1" si="6"/>
        <v>5855.6441565402556</v>
      </c>
      <c r="H53" s="773">
        <f t="shared" si="6"/>
        <v>45973.209858478549</v>
      </c>
      <c r="I53" s="773">
        <f t="shared" si="6"/>
        <v>9482.7780299770311</v>
      </c>
      <c r="J53" s="773">
        <f t="shared" si="6"/>
        <v>0</v>
      </c>
      <c r="K53" s="773">
        <f t="shared" si="6"/>
        <v>134.64618394349256</v>
      </c>
      <c r="L53" s="773">
        <f t="shared" si="6"/>
        <v>0</v>
      </c>
      <c r="M53" s="773">
        <f t="shared" ca="1" si="6"/>
        <v>0</v>
      </c>
      <c r="N53" s="773">
        <f t="shared" si="6"/>
        <v>0</v>
      </c>
      <c r="O53" s="773">
        <f t="shared" ca="1" si="6"/>
        <v>0</v>
      </c>
      <c r="P53" s="773">
        <f>P41+P46+P48</f>
        <v>0</v>
      </c>
      <c r="Q53" s="774">
        <f t="shared" si="6"/>
        <v>0</v>
      </c>
      <c r="R53" s="775">
        <f ca="1">R41+R46+R48</f>
        <v>122878.96427143431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0.21113080109495588</v>
      </c>
      <c r="D55" s="836">
        <f t="shared" ca="1" si="7"/>
        <v>0</v>
      </c>
      <c r="E55" s="836">
        <f t="shared" ca="1" si="7"/>
        <v>0.20200000000000004</v>
      </c>
      <c r="F55" s="836">
        <f t="shared" si="7"/>
        <v>0.22699999999999998</v>
      </c>
      <c r="G55" s="836">
        <f t="shared" ca="1" si="7"/>
        <v>0.26699999999999996</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5284.7978382062274</v>
      </c>
      <c r="C66" s="795">
        <f>'lokale energieproductie'!B6</f>
        <v>5284.7978382062274</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5284.7978382062274</v>
      </c>
      <c r="C69" s="803">
        <f>SUM(C64:C68)</f>
        <v>5284.7978382062274</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45242.680127437998</v>
      </c>
      <c r="C4" s="478">
        <f>huishoudens!C8</f>
        <v>0</v>
      </c>
      <c r="D4" s="478">
        <f>huishoudens!D8</f>
        <v>101780.92362907169</v>
      </c>
      <c r="E4" s="478">
        <f>huishoudens!E8</f>
        <v>4044.6148456292835</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16173.024648520723</v>
      </c>
      <c r="O4" s="478">
        <f>huishoudens!O8</f>
        <v>630.02333333333343</v>
      </c>
      <c r="P4" s="479">
        <f>huishoudens!P8</f>
        <v>1239.3333333333333</v>
      </c>
      <c r="Q4" s="480">
        <f>SUM(B4:P4)</f>
        <v>169110.59991732638</v>
      </c>
    </row>
    <row r="5" spans="1:17">
      <c r="A5" s="477" t="s">
        <v>156</v>
      </c>
      <c r="B5" s="478">
        <f ca="1">tertiair!B16</f>
        <v>38921.865184896131</v>
      </c>
      <c r="C5" s="478">
        <f ca="1">tertiair!C16</f>
        <v>0</v>
      </c>
      <c r="D5" s="478">
        <f ca="1">tertiair!D16</f>
        <v>47401.702202099805</v>
      </c>
      <c r="E5" s="478">
        <f>tertiair!E16</f>
        <v>510.04726555302875</v>
      </c>
      <c r="F5" s="478">
        <f ca="1">tertiair!F16</f>
        <v>6775.203439883262</v>
      </c>
      <c r="G5" s="478">
        <f>tertiair!G16</f>
        <v>0</v>
      </c>
      <c r="H5" s="478">
        <f>tertiair!H16</f>
        <v>0</v>
      </c>
      <c r="I5" s="478">
        <f>tertiair!I16</f>
        <v>0</v>
      </c>
      <c r="J5" s="478">
        <f>tertiair!J16</f>
        <v>7.8852256232468387E-2</v>
      </c>
      <c r="K5" s="478">
        <f>tertiair!K16</f>
        <v>0</v>
      </c>
      <c r="L5" s="478">
        <f ca="1">tertiair!L16</f>
        <v>0</v>
      </c>
      <c r="M5" s="478">
        <f>tertiair!M16</f>
        <v>0</v>
      </c>
      <c r="N5" s="478">
        <f ca="1">tertiair!N16</f>
        <v>3156.7822042727294</v>
      </c>
      <c r="O5" s="478">
        <f>tertiair!O16</f>
        <v>9.3800000000000008</v>
      </c>
      <c r="P5" s="479">
        <f>tertiair!P16</f>
        <v>57.2</v>
      </c>
      <c r="Q5" s="477">
        <f t="shared" ref="Q5:Q13" ca="1" si="0">SUM(B5:P5)</f>
        <v>96832.25914896121</v>
      </c>
    </row>
    <row r="6" spans="1:17">
      <c r="A6" s="477" t="s">
        <v>194</v>
      </c>
      <c r="B6" s="478">
        <f>'openbare verlichting'!B8</f>
        <v>1899.596</v>
      </c>
      <c r="C6" s="478"/>
      <c r="D6" s="478"/>
      <c r="E6" s="478"/>
      <c r="F6" s="478"/>
      <c r="G6" s="478"/>
      <c r="H6" s="478"/>
      <c r="I6" s="478"/>
      <c r="J6" s="478"/>
      <c r="K6" s="478"/>
      <c r="L6" s="478"/>
      <c r="M6" s="478"/>
      <c r="N6" s="478"/>
      <c r="O6" s="478"/>
      <c r="P6" s="479"/>
      <c r="Q6" s="477">
        <f t="shared" si="0"/>
        <v>1899.596</v>
      </c>
    </row>
    <row r="7" spans="1:17">
      <c r="A7" s="477" t="s">
        <v>112</v>
      </c>
      <c r="B7" s="478">
        <f>landbouw!B8</f>
        <v>1978.3146852047846</v>
      </c>
      <c r="C7" s="478">
        <f>landbouw!C8</f>
        <v>0</v>
      </c>
      <c r="D7" s="478">
        <f>landbouw!D8</f>
        <v>10757.742013296216</v>
      </c>
      <c r="E7" s="478">
        <f>landbouw!E8</f>
        <v>58.148711068648247</v>
      </c>
      <c r="F7" s="478">
        <f>landbouw!F8</f>
        <v>8241.5520760486088</v>
      </c>
      <c r="G7" s="478">
        <f>landbouw!G8</f>
        <v>0</v>
      </c>
      <c r="H7" s="478">
        <f>landbouw!H8</f>
        <v>0</v>
      </c>
      <c r="I7" s="478">
        <f>landbouw!I8</f>
        <v>0</v>
      </c>
      <c r="J7" s="478">
        <f>landbouw!J8</f>
        <v>286.61531309198995</v>
      </c>
      <c r="K7" s="478">
        <f>landbouw!K8</f>
        <v>0</v>
      </c>
      <c r="L7" s="478">
        <f>landbouw!L8</f>
        <v>0</v>
      </c>
      <c r="M7" s="478">
        <f>landbouw!M8</f>
        <v>0</v>
      </c>
      <c r="N7" s="478">
        <f>landbouw!N8</f>
        <v>0</v>
      </c>
      <c r="O7" s="478">
        <f>landbouw!O8</f>
        <v>0</v>
      </c>
      <c r="P7" s="479">
        <f>landbouw!P8</f>
        <v>0</v>
      </c>
      <c r="Q7" s="477">
        <f t="shared" si="0"/>
        <v>21322.372798710247</v>
      </c>
    </row>
    <row r="8" spans="1:17">
      <c r="A8" s="477" t="s">
        <v>635</v>
      </c>
      <c r="B8" s="478">
        <f>industrie!B18</f>
        <v>30206.738715881525</v>
      </c>
      <c r="C8" s="478">
        <f>industrie!C18</f>
        <v>0</v>
      </c>
      <c r="D8" s="478">
        <f>industrie!D18</f>
        <v>12134.617846269113</v>
      </c>
      <c r="E8" s="478">
        <f>industrie!E18</f>
        <v>2036.0117542056419</v>
      </c>
      <c r="F8" s="478">
        <f>industrie!F18</f>
        <v>6914.4960066908088</v>
      </c>
      <c r="G8" s="478">
        <f>industrie!G18</f>
        <v>0</v>
      </c>
      <c r="H8" s="478">
        <f>industrie!H18</f>
        <v>0</v>
      </c>
      <c r="I8" s="478">
        <f>industrie!I18</f>
        <v>0</v>
      </c>
      <c r="J8" s="478">
        <f>industrie!J18</f>
        <v>93.662286469553194</v>
      </c>
      <c r="K8" s="478">
        <f>industrie!K18</f>
        <v>0</v>
      </c>
      <c r="L8" s="478">
        <f>industrie!L18</f>
        <v>0</v>
      </c>
      <c r="M8" s="478">
        <f>industrie!M18</f>
        <v>0</v>
      </c>
      <c r="N8" s="478">
        <f>industrie!N18</f>
        <v>8419.2060859693393</v>
      </c>
      <c r="O8" s="478">
        <f>industrie!O18</f>
        <v>0</v>
      </c>
      <c r="P8" s="479">
        <f>industrie!P18</f>
        <v>0</v>
      </c>
      <c r="Q8" s="477">
        <f t="shared" si="0"/>
        <v>59804.732695485982</v>
      </c>
    </row>
    <row r="9" spans="1:17" s="483" customFormat="1">
      <c r="A9" s="481" t="s">
        <v>561</v>
      </c>
      <c r="B9" s="482">
        <f>transport!B14</f>
        <v>92.763279405705561</v>
      </c>
      <c r="C9" s="482">
        <f>transport!C14</f>
        <v>0</v>
      </c>
      <c r="D9" s="482">
        <f>transport!D14</f>
        <v>331.60226057149288</v>
      </c>
      <c r="E9" s="482">
        <f>transport!E14</f>
        <v>491.80686037028511</v>
      </c>
      <c r="F9" s="482">
        <f>transport!F14</f>
        <v>0</v>
      </c>
      <c r="G9" s="482">
        <f>transport!G14</f>
        <v>169081.6141941651</v>
      </c>
      <c r="H9" s="482">
        <f>transport!H14</f>
        <v>38083.44590352221</v>
      </c>
      <c r="I9" s="482">
        <f>transport!I14</f>
        <v>0</v>
      </c>
      <c r="J9" s="482">
        <f>transport!J14</f>
        <v>0</v>
      </c>
      <c r="K9" s="482">
        <f>transport!K14</f>
        <v>0</v>
      </c>
      <c r="L9" s="482">
        <f>transport!L14</f>
        <v>0</v>
      </c>
      <c r="M9" s="482">
        <f>transport!M14</f>
        <v>11008.982640020862</v>
      </c>
      <c r="N9" s="482">
        <f>transport!N14</f>
        <v>0</v>
      </c>
      <c r="O9" s="482">
        <f>transport!O14</f>
        <v>0</v>
      </c>
      <c r="P9" s="482">
        <f>transport!P14</f>
        <v>0</v>
      </c>
      <c r="Q9" s="481">
        <f>SUM(B9:P9)</f>
        <v>219090.21513805565</v>
      </c>
    </row>
    <row r="10" spans="1:17">
      <c r="A10" s="477" t="s">
        <v>551</v>
      </c>
      <c r="B10" s="478">
        <f>transport!B54</f>
        <v>0</v>
      </c>
      <c r="C10" s="478">
        <f>transport!C54</f>
        <v>0</v>
      </c>
      <c r="D10" s="478">
        <f>transport!D54</f>
        <v>0</v>
      </c>
      <c r="E10" s="478">
        <f>transport!E54</f>
        <v>0</v>
      </c>
      <c r="F10" s="478">
        <f>transport!F54</f>
        <v>0</v>
      </c>
      <c r="G10" s="478">
        <f>transport!G54</f>
        <v>3102.6923918968741</v>
      </c>
      <c r="H10" s="478">
        <f>transport!H54</f>
        <v>0</v>
      </c>
      <c r="I10" s="478">
        <f>transport!I54</f>
        <v>0</v>
      </c>
      <c r="J10" s="478">
        <f>transport!J54</f>
        <v>0</v>
      </c>
      <c r="K10" s="478">
        <f>transport!K54</f>
        <v>0</v>
      </c>
      <c r="L10" s="478">
        <f>transport!L54</f>
        <v>0</v>
      </c>
      <c r="M10" s="478">
        <f>transport!M54</f>
        <v>176.21923078718061</v>
      </c>
      <c r="N10" s="478">
        <f>transport!N54</f>
        <v>0</v>
      </c>
      <c r="O10" s="478">
        <f>transport!O54</f>
        <v>0</v>
      </c>
      <c r="P10" s="479">
        <f>transport!P54</f>
        <v>0</v>
      </c>
      <c r="Q10" s="477">
        <f t="shared" si="0"/>
        <v>3278.9116226840547</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118341.95799282614</v>
      </c>
      <c r="C14" s="488">
        <f t="shared" ref="C14:Q14" ca="1" si="1">SUM(C4:C13)</f>
        <v>0</v>
      </c>
      <c r="D14" s="488">
        <f t="shared" ca="1" si="1"/>
        <v>172406.58795130832</v>
      </c>
      <c r="E14" s="488">
        <f t="shared" si="1"/>
        <v>7140.6294368268882</v>
      </c>
      <c r="F14" s="488">
        <f t="shared" ca="1" si="1"/>
        <v>21931.251522622679</v>
      </c>
      <c r="G14" s="488">
        <f t="shared" si="1"/>
        <v>172184.30658606198</v>
      </c>
      <c r="H14" s="488">
        <f t="shared" si="1"/>
        <v>38083.44590352221</v>
      </c>
      <c r="I14" s="488">
        <f t="shared" si="1"/>
        <v>0</v>
      </c>
      <c r="J14" s="488">
        <f t="shared" si="1"/>
        <v>380.35645181777562</v>
      </c>
      <c r="K14" s="488">
        <f t="shared" si="1"/>
        <v>0</v>
      </c>
      <c r="L14" s="488">
        <f t="shared" ca="1" si="1"/>
        <v>0</v>
      </c>
      <c r="M14" s="488">
        <f t="shared" si="1"/>
        <v>11185.201870808043</v>
      </c>
      <c r="N14" s="488">
        <f t="shared" ca="1" si="1"/>
        <v>27749.012938762789</v>
      </c>
      <c r="O14" s="488">
        <f t="shared" si="1"/>
        <v>639.40333333333342</v>
      </c>
      <c r="P14" s="489">
        <f t="shared" si="1"/>
        <v>1296.5333333333333</v>
      </c>
      <c r="Q14" s="489">
        <f t="shared" ca="1" si="1"/>
        <v>571338.68732122355</v>
      </c>
    </row>
    <row r="16" spans="1:17">
      <c r="A16" s="491" t="s">
        <v>556</v>
      </c>
      <c r="B16" s="841">
        <f ca="1">huishoudens!B10</f>
        <v>0.21113080109495588</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9552.1232989888249</v>
      </c>
      <c r="C21" s="478">
        <f t="shared" ref="C21:C30" ca="1" si="3">C4*$C$16</f>
        <v>0</v>
      </c>
      <c r="D21" s="478">
        <f t="shared" ref="D21:D30" si="4">D4*$D$16</f>
        <v>20559.746573072483</v>
      </c>
      <c r="E21" s="478">
        <f t="shared" ref="E21:E30" si="5">E4*$E$16</f>
        <v>918.12756995784741</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31029.997442019157</v>
      </c>
    </row>
    <row r="22" spans="1:17">
      <c r="A22" s="477" t="s">
        <v>156</v>
      </c>
      <c r="B22" s="478">
        <f t="shared" ca="1" si="2"/>
        <v>8217.6045765969939</v>
      </c>
      <c r="C22" s="478">
        <f t="shared" ca="1" si="3"/>
        <v>0</v>
      </c>
      <c r="D22" s="478">
        <f t="shared" ca="1" si="4"/>
        <v>9575.1438448241606</v>
      </c>
      <c r="E22" s="478">
        <f t="shared" si="5"/>
        <v>115.78072928053753</v>
      </c>
      <c r="F22" s="478">
        <f t="shared" ca="1" si="6"/>
        <v>1808.979318448831</v>
      </c>
      <c r="G22" s="478">
        <f t="shared" si="7"/>
        <v>0</v>
      </c>
      <c r="H22" s="478">
        <f t="shared" si="8"/>
        <v>0</v>
      </c>
      <c r="I22" s="478">
        <f t="shared" si="9"/>
        <v>0</v>
      </c>
      <c r="J22" s="478">
        <f t="shared" si="10"/>
        <v>2.7913698706293809E-2</v>
      </c>
      <c r="K22" s="478">
        <f t="shared" si="11"/>
        <v>0</v>
      </c>
      <c r="L22" s="478">
        <f t="shared" ca="1" si="12"/>
        <v>0</v>
      </c>
      <c r="M22" s="478">
        <f t="shared" si="13"/>
        <v>0</v>
      </c>
      <c r="N22" s="478">
        <f t="shared" ca="1" si="14"/>
        <v>0</v>
      </c>
      <c r="O22" s="478">
        <f t="shared" si="15"/>
        <v>0</v>
      </c>
      <c r="P22" s="479">
        <f t="shared" si="16"/>
        <v>0</v>
      </c>
      <c r="Q22" s="477">
        <f t="shared" ref="Q22:Q30" ca="1" si="17">SUM(B22:P22)</f>
        <v>19717.536382849226</v>
      </c>
    </row>
    <row r="23" spans="1:17">
      <c r="A23" s="477" t="s">
        <v>194</v>
      </c>
      <c r="B23" s="478">
        <f t="shared" ca="1" si="2"/>
        <v>401.0632252367738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401.0632252367738</v>
      </c>
    </row>
    <row r="24" spans="1:17">
      <c r="A24" s="477" t="s">
        <v>112</v>
      </c>
      <c r="B24" s="478">
        <f t="shared" ca="1" si="2"/>
        <v>417.68316430520161</v>
      </c>
      <c r="C24" s="478">
        <f t="shared" ca="1" si="3"/>
        <v>0</v>
      </c>
      <c r="D24" s="478">
        <f t="shared" si="4"/>
        <v>2173.0638866858358</v>
      </c>
      <c r="E24" s="478">
        <f t="shared" si="5"/>
        <v>13.199757412583152</v>
      </c>
      <c r="F24" s="478">
        <f t="shared" si="6"/>
        <v>2200.4944043049786</v>
      </c>
      <c r="G24" s="478">
        <f t="shared" si="7"/>
        <v>0</v>
      </c>
      <c r="H24" s="478">
        <f t="shared" si="8"/>
        <v>0</v>
      </c>
      <c r="I24" s="478">
        <f t="shared" si="9"/>
        <v>0</v>
      </c>
      <c r="J24" s="478">
        <f t="shared" si="10"/>
        <v>101.46182083456443</v>
      </c>
      <c r="K24" s="478">
        <f t="shared" si="11"/>
        <v>0</v>
      </c>
      <c r="L24" s="478">
        <f t="shared" si="12"/>
        <v>0</v>
      </c>
      <c r="M24" s="478">
        <f t="shared" si="13"/>
        <v>0</v>
      </c>
      <c r="N24" s="478">
        <f t="shared" si="14"/>
        <v>0</v>
      </c>
      <c r="O24" s="478">
        <f t="shared" si="15"/>
        <v>0</v>
      </c>
      <c r="P24" s="479">
        <f t="shared" si="16"/>
        <v>0</v>
      </c>
      <c r="Q24" s="477">
        <f t="shared" ca="1" si="17"/>
        <v>4905.9030335431635</v>
      </c>
    </row>
    <row r="25" spans="1:17">
      <c r="A25" s="477" t="s">
        <v>635</v>
      </c>
      <c r="B25" s="478">
        <f t="shared" ca="1" si="2"/>
        <v>6377.5729435500853</v>
      </c>
      <c r="C25" s="478">
        <f t="shared" ca="1" si="3"/>
        <v>0</v>
      </c>
      <c r="D25" s="478">
        <f t="shared" si="4"/>
        <v>2451.1928049463609</v>
      </c>
      <c r="E25" s="478">
        <f t="shared" si="5"/>
        <v>462.1746682046807</v>
      </c>
      <c r="F25" s="478">
        <f t="shared" si="6"/>
        <v>1846.170433786446</v>
      </c>
      <c r="G25" s="478">
        <f t="shared" si="7"/>
        <v>0</v>
      </c>
      <c r="H25" s="478">
        <f t="shared" si="8"/>
        <v>0</v>
      </c>
      <c r="I25" s="478">
        <f t="shared" si="9"/>
        <v>0</v>
      </c>
      <c r="J25" s="478">
        <f t="shared" si="10"/>
        <v>33.156449410221832</v>
      </c>
      <c r="K25" s="478">
        <f t="shared" si="11"/>
        <v>0</v>
      </c>
      <c r="L25" s="478">
        <f t="shared" si="12"/>
        <v>0</v>
      </c>
      <c r="M25" s="478">
        <f t="shared" si="13"/>
        <v>0</v>
      </c>
      <c r="N25" s="478">
        <f t="shared" si="14"/>
        <v>0</v>
      </c>
      <c r="O25" s="478">
        <f t="shared" si="15"/>
        <v>0</v>
      </c>
      <c r="P25" s="479">
        <f t="shared" si="16"/>
        <v>0</v>
      </c>
      <c r="Q25" s="477">
        <f t="shared" ca="1" si="17"/>
        <v>11170.267299897796</v>
      </c>
    </row>
    <row r="26" spans="1:17" s="483" customFormat="1">
      <c r="A26" s="481" t="s">
        <v>561</v>
      </c>
      <c r="B26" s="835">
        <f t="shared" ca="1" si="2"/>
        <v>19.585185493121838</v>
      </c>
      <c r="C26" s="482">
        <f t="shared" ca="1" si="3"/>
        <v>0</v>
      </c>
      <c r="D26" s="482">
        <f t="shared" si="4"/>
        <v>66.983656635441562</v>
      </c>
      <c r="E26" s="482">
        <f t="shared" si="5"/>
        <v>111.64015730405472</v>
      </c>
      <c r="F26" s="482">
        <f t="shared" si="6"/>
        <v>0</v>
      </c>
      <c r="G26" s="482">
        <f t="shared" si="7"/>
        <v>45144.790989842084</v>
      </c>
      <c r="H26" s="482">
        <f t="shared" si="8"/>
        <v>9482.7780299770311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54825.778019251731</v>
      </c>
    </row>
    <row r="27" spans="1:17">
      <c r="A27" s="477" t="s">
        <v>551</v>
      </c>
      <c r="B27" s="478">
        <f t="shared" ca="1" si="2"/>
        <v>0</v>
      </c>
      <c r="C27" s="478">
        <f t="shared" ca="1" si="3"/>
        <v>0</v>
      </c>
      <c r="D27" s="478">
        <f t="shared" si="4"/>
        <v>0</v>
      </c>
      <c r="E27" s="478">
        <f t="shared" si="5"/>
        <v>0</v>
      </c>
      <c r="F27" s="478">
        <f t="shared" si="6"/>
        <v>0</v>
      </c>
      <c r="G27" s="478">
        <f t="shared" si="7"/>
        <v>828.41886863646539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828.41886863646539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24985.632394171003</v>
      </c>
      <c r="C31" s="488">
        <f t="shared" ca="1" si="18"/>
        <v>0</v>
      </c>
      <c r="D31" s="488">
        <f t="shared" ca="1" si="18"/>
        <v>34826.130766164286</v>
      </c>
      <c r="E31" s="488">
        <f t="shared" si="18"/>
        <v>1620.9228821597035</v>
      </c>
      <c r="F31" s="488">
        <f t="shared" ca="1" si="18"/>
        <v>5855.6441565402556</v>
      </c>
      <c r="G31" s="488">
        <f t="shared" si="18"/>
        <v>45973.209858478549</v>
      </c>
      <c r="H31" s="488">
        <f t="shared" si="18"/>
        <v>9482.7780299770311</v>
      </c>
      <c r="I31" s="488">
        <f t="shared" si="18"/>
        <v>0</v>
      </c>
      <c r="J31" s="488">
        <f t="shared" si="18"/>
        <v>134.64618394349256</v>
      </c>
      <c r="K31" s="488">
        <f t="shared" si="18"/>
        <v>0</v>
      </c>
      <c r="L31" s="488">
        <f t="shared" ca="1" si="18"/>
        <v>0</v>
      </c>
      <c r="M31" s="488">
        <f t="shared" si="18"/>
        <v>0</v>
      </c>
      <c r="N31" s="488">
        <f t="shared" ca="1" si="18"/>
        <v>0</v>
      </c>
      <c r="O31" s="488">
        <f t="shared" si="18"/>
        <v>0</v>
      </c>
      <c r="P31" s="489">
        <f t="shared" si="18"/>
        <v>0</v>
      </c>
      <c r="Q31" s="489">
        <f t="shared" ca="1" si="18"/>
        <v>122878.96427143431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0.21113080109495588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0.21113080109495588</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0.21113080109495588</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2018-09-06T12:48:41Z</dcterms:modified>
</cp:coreProperties>
</file>