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E7"/>
  <c r="E24" s="1"/>
  <c r="P31"/>
  <c r="I14"/>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C18" i="15"/>
  <c r="C20" s="1"/>
  <c r="D36" i="14" s="1"/>
  <c r="C20" i="16"/>
  <c r="C22" s="1"/>
  <c r="D39" i="14" s="1"/>
  <c r="O13"/>
  <c r="O15" s="1"/>
  <c r="C10" i="13"/>
  <c r="C16" i="48" s="1"/>
  <c r="C30"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5"/>
  <c r="C29"/>
  <c r="C21"/>
  <c r="C26"/>
  <c r="F25"/>
  <c r="F31" s="1"/>
  <c r="F14"/>
  <c r="C22" l="1"/>
  <c r="C31" s="1"/>
  <c r="R13" i="14"/>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<sst xmlns="http://schemas.openxmlformats.org/spreadsheetml/2006/main" count="1958" uniqueCount="830">
  <si>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</si>
  <si>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</si>
  <si>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</si>
  <si>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</si>
  <si>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</si>
  <si>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</si>
  <si>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</si>
  <si>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</si>
  <si>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</si>
  <si>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</si>
  <si>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</si>
  <si>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</si>
  <si>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</si>
  <si>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</si>
  <si>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</si>
  <si>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</si>
  <si>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</si>
  <si>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</si>
  <si>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</si>
  <si>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</si>
  <si>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</si>
  <si>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</si>
  <si>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</si>
  <si>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</si>
  <si>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</si>
  <si>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</si>
  <si>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</si>
  <si>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</si>
  <si>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</si>
  <si>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</si>
  <si>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</si>
  <si>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</si>
  <si>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</si>
  <si>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</si>
  <si>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</si>
  <si>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</si>
  <si>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</si>
  <si>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</si>
  <si>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</si>
  <si>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</si>
  <si>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</si>
  <si>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</si>
  <si>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</si>
  <si>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</si>
  <si>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</si>
  <si>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</si>
  <si>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</si>
  <si>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</si>
  <si>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</si>
  <si>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</si>
  <si>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</si>
  <si>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</si>
  <si>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</si>
  <si>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</si>
  <si>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</si>
  <si>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</si>
  <si>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</si>
  <si>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</si>
  <si>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</si>
  <si>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</si>
  <si>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</si>
  <si>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</si>
  <si>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</si>
  <si>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</si>
  <si>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</si>
  <si>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</si>
  <si>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</si>
  <si>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</si>
  <si>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</si>
  <si>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</si>
  <si>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</si>
  <si>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</si>
  <si>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</si>
  <si>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</si>
  <si>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</si>
  <si>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</si>
  <si>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</si>
  <si>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</si>
  <si>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</si>
  <si>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</si>
  <si>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</si>
  <si>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</si>
  <si>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</si>
  <si>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</si>
  <si>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</si>
  <si>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</si>
  <si>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</si>
  <si>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</si>
  <si>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</si>
  <si>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</si>
  <si>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</si>
  <si>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</si>
  <si>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</si>
  <si>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</si>
  <si>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</si>
  <si>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</si>
  <si>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</si>
  <si>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</si>
  <si>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</si>
  <si>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</si>
  <si>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</si>
  <si>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</si>
  <si>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</si>
  <si>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</si>
  <si>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</si>
  <si>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</si>
  <si>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</si>
  <si>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</si>
  <si>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</si>
  <si>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</si>
  <si>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</si>
  <si>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</si>
  <si>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</si>
  <si>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</si>
  <si>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</si>
  <si>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</si>
  <si>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</si>
  <si>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</si>
  <si>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</si>
  <si>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</si>
  <si>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</si>
  <si>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</si>
  <si>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</si>
  <si>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</si>
  <si>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</si>
  <si>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</si>
  <si>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</si>
  <si>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</si>
  <si>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</si>
  <si>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</si>
  <si>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</si>
  <si>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</si>
  <si>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</si>
  <si>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</si>
  <si>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</si>
  <si>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</si>
  <si>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</si>
  <si>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</si>
  <si>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</si>
  <si>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</si>
  <si>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</si>
  <si>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</si>
  <si>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</si>
  <si>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</si>
  <si>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</si>
  <si>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</si>
  <si>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</si>
  <si>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</si>
  <si>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</si>
  <si>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</si>
  <si>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</si>
  <si>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</si>
  <si>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</si>
  <si>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</si>
  <si>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</si>
  <si>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</si>
  <si>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</si>
  <si>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</si>
  <si>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</si>
  <si>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</si>
  <si>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</si>
  <si>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</si>
  <si>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</si>
  <si>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</si>
  <si>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</si>
  <si>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</si>
  <si>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</si>
  <si>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</si>
  <si>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</si>
  <si>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</si>
  <si>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</si>
  <si>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</si>
  <si>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</si>
  <si>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</si>
  <si>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</si>
  <si>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</si>
  <si>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</si>
  <si>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</si>
  <si>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</si>
  <si>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</si>
  <si>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</si>
  <si>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</si>
  <si>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</si>
  <si>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</si>
  <si>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</si>
  <si>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</si>
  <si>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</si>
  <si>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</si>
  <si>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</si>
  <si>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</si>
  <si>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</si>
  <si>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</si>
  <si>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</si>
  <si>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</si>
  <si>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</si>
  <si>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</si>
  <si>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</si>
  <si>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</si>
  <si>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</si>
  <si>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</si>
  <si>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</si>
  <si>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</si>
  <si>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</si>
  <si>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</si>
  <si>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</si>
  <si>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</si>
  <si>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</si>
  <si>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</si>
  <si>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</si>
  <si>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</si>
  <si>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</si>
  <si>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</si>
  <si>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</si>
  <si>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</si>
  <si>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</si>
  <si>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</si>
  <si>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</si>
  <si>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</si>
  <si>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</si>
  <si>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</si>
  <si>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</si>
  <si>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</si>
  <si>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</si>
  <si>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</si>
  <si>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</si>
  <si>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</si>
  <si>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</si>
  <si>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</si>
  <si>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</si>
  <si>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</si>
  <si>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</si>
  <si>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</si>
  <si>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</si>
  <si>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</si>
  <si>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</si>
  <si>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</si>
  <si>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</si>
  <si>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</si>
  <si>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</si>
  <si>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</si>
  <si>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</si>
  <si>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</si>
  <si>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</si>
  <si>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</si>
  <si>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</si>
  <si>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</si>
  <si>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</si>
  <si>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</si>
  <si>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</si>
  <si>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</si>
  <si>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</si>
  <si>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</si>
  <si>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</si>
  <si>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</si>
  <si>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</si>
  <si>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</si>
  <si>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</si>
  <si>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</si>
  <si>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</si>
  <si>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</si>
  <si>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</si>
  <si>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</si>
  <si>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</si>
  <si>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</si>
  <si>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</si>
  <si>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</si>
  <si>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</si>
  <si>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</si>
  <si>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</si>
  <si>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</si>
  <si>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</si>
  <si>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</si>
  <si>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</si>
  <si>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</si>
  <si>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</si>
  <si>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</si>
  <si>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</si>
  <si>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</si>
  <si>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</si>
  <si>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</si>
  <si>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</si>
  <si>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</si>
  <si>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</si>
  <si>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</si>
  <si>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</si>
  <si>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</si>
  <si>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</si>
  <si>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</si>
  <si>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</si>
  <si>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</si>
  <si>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</si>
  <si>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</si>
  <si>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</si>
  <si>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</si>
  <si>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</si>
  <si>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</si>
  <si>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</si>
  <si>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</si>
  <si>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</si>
  <si>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</si>
  <si>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</si>
  <si>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</si>
  <si>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</si>
  <si>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</si>
  <si>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</si>
  <si>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</si>
  <si>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</si>
  <si>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</si>
  <si>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</si>
  <si>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</si>
  <si>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</si>
  <si>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</si>
  <si>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</si>
  <si>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</si>
  <si>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</si>
  <si>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</si>
  <si>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</si>
  <si>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</si>
  <si>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</si>
  <si>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</si>
  <si>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</si>
  <si>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</si>
  <si>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</si>
  <si>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</si>
  <si>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</si>
  <si>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</si>
  <si>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</si>
  <si>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</si>
  <si>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</si>
  <si>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</si>
  <si>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</si>
  <si>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</si>
  <si>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</si>
  <si>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</si>
  <si>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</si>
  <si>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</si>
  <si>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</si>
  <si>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</si>
  <si>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</si>
  <si>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</si>
  <si>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</si>
  <si>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</si>
  <si>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</si>
  <si>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</si>
  <si>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</si>
  <si>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</si>
  <si>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</si>
  <si>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</si>
  <si>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</si>
  <si>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</si>
  <si>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</si>
  <si>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</si>
  <si>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</si>
  <si>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</si>
  <si>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</si>
  <si>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</si>
  <si>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</si>
  <si>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</si>
  <si>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</si>
  <si>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</si>
  <si>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</si>
  <si>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</si>
  <si>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</si>
  <si>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</si>
  <si>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</si>
  <si>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</si>
  <si>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</si>
  <si>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</si>
  <si>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</si>
  <si>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</si>
  <si>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</si>
  <si>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</si>
  <si>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</si>
  <si>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</si>
  <si>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</si>
  <si>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</si>
  <si>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</si>
  <si>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</si>
  <si>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</si>
  <si>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</si>
  <si>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</si>
  <si>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</si>
  <si>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</si>
  <si>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</si>
  <si>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</si>
  <si>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</si>
  <si>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</si>
  <si>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</si>
  <si>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</si>
  <si>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</si>
  <si>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</si>
  <si>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</si>
  <si>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</si>
  <si>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</si>
  <si>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</si>
  <si>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</si>
  <si>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</si>
  <si>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</si>
  <si>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</si>
  <si>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</si>
  <si>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</si>
  <si>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</si>
  <si>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</si>
  <si>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</si>
  <si>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</si>
  <si>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</si>
  <si>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</si>
  <si>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</si>
  <si>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</si>
  <si>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</si>
  <si>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</si>
  <si>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</si>
  <si>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</si>
  <si>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</si>
  <si>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</si>
  <si>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</si>
  <si>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</si>
  <si>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</si>
  <si>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</si>
  <si>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</si>
  <si>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</si>
  <si>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</si>
  <si>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</si>
  <si>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</si>
  <si>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</si>
  <si>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</si>
  <si>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</si>
  <si>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</si>
  <si>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</si>
  <si>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</si>
  <si>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</si>
  <si>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</si>
  <si>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</si>
  <si>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</si>
  <si>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</si>
  <si>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</si>
  <si>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</si>
  <si>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</si>
  <si>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</si>
  <si>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</si>
  <si>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</si>
  <si>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</si>
  <si>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</si>
  <si>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</si>
  <si>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</si>
  <si>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</si>
  <si>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</si>
  <si>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</si>
  <si>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</si>
  <si>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</si>
  <si>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</si>
  <si>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</si>
  <si>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</si>
  <si>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</si>
  <si>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</si>
  <si>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</si>
  <si>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</si>
  <si>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</si>
  <si>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</si>
  <si>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</si>
  <si>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</si>
  <si>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</si>
  <si>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</si>
  <si>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</si>
  <si>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</si>
  <si>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</si>
  <si>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</si>
  <si>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</si>
  <si>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</si>
  <si>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</si>
  <si>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</si>
  <si>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</si>
  <si>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</si>
  <si>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</si>
  <si>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</si>
  <si>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</si>
  <si>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</si>
  <si>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</si>
  <si>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</si>
  <si>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</si>
  <si>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</si>
  <si>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</si>
  <si>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</si>
  <si>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</si>
  <si>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</si>
  <si>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</si>
  <si>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</si>
  <si>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</si>
  <si>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</si>
  <si>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</si>
  <si>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</si>
  <si>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</si>
  <si>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</si>
  <si>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</si>
  <si>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</si>
  <si>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</si>
  <si>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</si>
  <si>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</si>
  <si>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</si>
  <si>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</si>
  <si>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</si>
  <si>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</si>
  <si>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</si>
  <si>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</si>
  <si>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</si>
  <si>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</si>
  <si>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</si>
  <si>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</si>
  <si>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</si>
  <si>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</si>
  <si>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</si>
  <si>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</si>
  <si>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</si>
  <si>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</si>
  <si>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</si>
  <si>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</si>
  <si>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</si>
  <si>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</si>
  <si>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</si>
  <si>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</si>
  <si>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</si>
  <si>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</si>
  <si>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</si>
  <si>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</si>
  <si>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</si>
  <si>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</si>
  <si>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</si>
  <si>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</si>
  <si>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</si>
  <si>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</si>
  <si>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</si>
  <si>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</si>
  <si>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</si>
  <si>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</si>
  <si>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</si>
  <si>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</si>
  <si>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</si>
  <si>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</si>
  <si>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</si>
  <si>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</si>
  <si>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</si>
  <si>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</si>
  <si>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</si>
  <si>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</si>
  <si>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</si>
  <si>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</si>
  <si>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</si>
  <si>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</si>
  <si>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</si>
  <si>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</si>
  <si>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</si>
  <si>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</si>
  <si>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</si>
  <si>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</si>
  <si>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</si>
  <si>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</si>
  <si>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</si>
  <si>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</si>
  <si>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</si>
  <si>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</si>
  <si>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</si>
  <si>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</si>
  <si>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</si>
  <si>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</si>
  <si>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</si>
  <si>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</si>
  <si>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</si>
  <si>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</si>
  <si>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</si>
  <si>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</si>
  <si>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</si>
  <si>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</si>
  <si>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</si>
  <si>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</si>
  <si>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</si>
  <si>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</si>
  <si>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</si>
  <si>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</si>
  <si>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</si>
  <si>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</si>
  <si>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</si>
  <si>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</si>
  <si>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</si>
  <si>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</si>
  <si>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</si>
  <si>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</si>
  <si>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</si>
  <si>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</si>
  <si>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</si>
  <si>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</si>
  <si>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</si>
  <si>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</si>
  <si>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</si>
  <si>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</si>
  <si>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</si>
  <si>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</si>
  <si>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</si>
  <si>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</si>
  <si>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</si>
  <si>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</si>
  <si>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</si>
  <si>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</si>
  <si>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</si>
  <si>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</si>
  <si>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</si>
  <si>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</si>
  <si>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</si>
  <si>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</si>
  <si>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</si>
  <si>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</si>
  <si>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</si>
  <si>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</si>
  <si>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</si>
  <si>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</si>
  <si>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</si>
  <si>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</si>
  <si>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</si>
  <si>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</si>
  <si>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</si>
  <si>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</si>
  <si>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</si>
  <si>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</si>
  <si>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</si>
  <si>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</si>
  <si>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</si>
  <si>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</si>
  <si>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</si>
  <si>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</si>
  <si>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</si>
  <si>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</si>
  <si>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</si>
  <si>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</si>
  <si>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</si>
  <si>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</si>
  <si>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</si>
  <si>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</si>
  <si>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</si>
  <si>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</si>
  <si>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</si>
  <si>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</si>
  <si>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</si>
  <si>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</si>
  <si>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</si>
  <si>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</si>
  <si>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</si>
  <si>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</si>
  <si>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</si>
  <si>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</si>
  <si>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</si>
  <si>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</si>
  <si>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</si>
  <si>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</si>
  <si>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</si>
  <si>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</si>
  <si>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</si>
  <si>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</si>
  <si>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</si>
  <si>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</si>
  <si>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</si>
  <si>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</si>
  <si>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</si>
  <si>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</si>
  <si>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</si>
  <si>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</si>
  <si>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</si>
  <si>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</si>
  <si>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</si>
  <si>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</si>
  <si>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</si>
  <si>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</si>
  <si>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</si>
  <si>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</si>
  <si>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</si>
  <si>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</si>
  <si>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</si>
  <si>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</si>
  <si>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</si>
  <si>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</si>
  <si>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</si>
  <si>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</si>
  <si>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</si>
  <si>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</si>
  <si>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</si>
  <si>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</si>
  <si>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</si>
  <si>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</si>
  <si>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</si>
  <si>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</si>
  <si>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</si>
  <si>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</si>
  <si>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</si>
  <si>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</si>
  <si>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</si>
  <si>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</si>
  <si>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</si>
  <si>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</si>
  <si>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</si>
  <si>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</si>
  <si>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</si>
  <si>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</si>
  <si>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</si>
  <si>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</si>
  <si>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</si>
  <si>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</si>
  <si>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</si>
  <si>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</si>
  <si>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</si>
  <si>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</si>
  <si>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</si>
  <si>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</si>
  <si>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</si>
  <si>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</si>
  <si>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</si>
  <si>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</si>
  <si>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</si>
  <si>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</si>
  <si>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</si>
  <si>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</si>
  <si>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</si>
  <si>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</si>
  <si>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</si>
  <si>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</si>
  <si>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</si>
  <si>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</si>
  <si>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</si>
  <si>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</si>
  <si>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</si>
  <si>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</si>
  <si>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</si>
  <si>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</si>
  <si>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</si>
  <si>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</si>
  <si>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</si>
  <si>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</si>
  <si>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</si>
  <si>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</si>
  <si>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</si>
  <si>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</si>
  <si>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</si>
  <si>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</si>
  <si>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</si>
  <si>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</si>
  <si>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</si>
  <si>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</si>
  <si>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</si>
  <si>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</si>
  <si>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</si>
  <si>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</si>
  <si>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</si>
  <si>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</si>
  <si>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</si>
  <si>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</si>
  <si>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</si>
  <si>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</si>
  <si>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</si>
  <si>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</si>
  <si>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</si>
  <si>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</si>
  <si>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</si>
  <si>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</si>
  <si>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</si>
  <si>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</si>
  <si>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</si>
  <si>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</si>
  <si>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</si>
  <si>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</si>
  <si>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</si>
  <si>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</si>
  <si>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</si>
  <si>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</si>
  <si>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</si>
  <si>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</si>
  <si>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</si>
  <si>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</si>
  <si>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</si>
  <si>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</si>
  <si>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</si>
  <si>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</si>
  <si>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</si>
  <si>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</si>
  <si>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</si>
  <si>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</si>
  <si>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</si>
  <si>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</si>
  <si>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</si>
  <si>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</si>
  <si>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</si>
  <si>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</si>
  <si>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</si>
  <si>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</si>
  <si>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</si>
  <si>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</si>
  <si>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</si>
  <si>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</si>
  <si>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</si>
  <si>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</si>
  <si>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</si>
  <si>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</si>
  <si>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</si>
  <si>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</si>
  <si>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</si>
  <si>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44034</t>
  </si>
  <si>
    <t>LOCHRISTI</t>
  </si>
  <si>
    <t>Eandis (januari 2018); Infrax (juni 2018)</t>
  </si>
  <si>
    <t>MOW (september 2017)</t>
  </si>
  <si>
    <t>referentietaak LNE (2017); Jaarverslag De Lijn (2016)</t>
  </si>
  <si>
    <t>VEA (april 2018)</t>
  </si>
  <si>
    <t>VEA (januari 2017)</t>
  </si>
  <si>
    <t>VEA (juni 2018)</t>
  </si>
  <si>
    <t>Floreac nv</t>
  </si>
  <si>
    <t>Beerveldse Baan 4 , 9080 Lochristi</t>
  </si>
  <si>
    <t>WKK-0301 Floreac</t>
  </si>
  <si>
    <t>interne verbrandingsmotor</t>
  </si>
  <si>
    <t>WKK interne verbrandinsgmotor (gas)</t>
  </si>
  <si>
    <t>Lichtelaerestraat 87 , 9080 Lochristi</t>
  </si>
  <si>
    <t>IMEWO</t>
  </si>
  <si>
    <t>Kristof Van Laere</t>
  </si>
  <si>
    <t>Oude Veldstraat 59 , 9080 Lochristi</t>
  </si>
  <si>
    <t>WKK-0325 Kristof Van Laere</t>
  </si>
  <si>
    <t>ID’Flor bvba</t>
  </si>
  <si>
    <t>Stationsstraat 111 , 9080 Lochristi</t>
  </si>
  <si>
    <t>WKK-0484 Floré</t>
  </si>
  <si>
    <t>Biolectric nv</t>
  </si>
  <si>
    <t>Jan de Malschelaan 4 B, 9140 Temse</t>
  </si>
  <si>
    <t>WKK-0503 Kris De Mol</t>
  </si>
  <si>
    <t>Kapelstraat 30 , 9080 Zaffelare</t>
  </si>
  <si>
    <t>Floreac II</t>
  </si>
  <si>
    <t>WKK-0685 Floreac II</t>
  </si>
  <si>
    <t>Lichtelarestraat 87, 9080 Lochristi, BE</t>
  </si>
  <si>
    <t>IMEWO (via EANDIS)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</si>
</sst>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160147.87418334678</c:v>
                </c:pt>
                <c:pt idx="1">
                  <c:v>68644.630241248291</c:v>
                </c:pt>
                <c:pt idx="2">
                  <c:v>1706.7</c:v>
                </c:pt>
                <c:pt idx="3">
                  <c:v>114183.06126030177</c:v>
                </c:pt>
                <c:pt idx="4">
                  <c:v>41065.549801514731</c:v>
                </c:pt>
                <c:pt idx="5">
                  <c:v>292167.23577218392</c:v>
                </c:pt>
                <c:pt idx="6">
                  <c:v>2317.6645138053896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41984"/>
        <c:axId val="182097024"/>
      </c:barChart>
      <c:catAx>
        <c:axId val="182041984"/>
        <c:scaling>
          <c:orientation val="minMax"/>
        </c:scaling>
        <c:axPos val="b"/>
        <c:numFmt formatCode="General" sourceLinked="0"/>
        <c:tickLblPos val="nextTo"/>
        <c:crossAx val="182097024"/>
        <c:crosses val="autoZero"/>
        <c:auto val="1"/>
        <c:lblAlgn val="ctr"/>
        <c:lblOffset val="100"/>
      </c:catAx>
      <c:valAx>
        <c:axId val="182097024"/>
        <c:scaling>
          <c:orientation val="minMax"/>
        </c:scaling>
        <c:axPos val="l"/>
        <c:majorGridlines/>
        <c:numFmt formatCode="#,##0" sourceLinked="1"/>
        <c:tickLblPos val="nextTo"/>
        <c:crossAx val="1820419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160147.87418334678</c:v>
                </c:pt>
                <c:pt idx="1">
                  <c:v>68644.630241248291</c:v>
                </c:pt>
                <c:pt idx="2">
                  <c:v>1706.7</c:v>
                </c:pt>
                <c:pt idx="3">
                  <c:v>114183.06126030177</c:v>
                </c:pt>
                <c:pt idx="4">
                  <c:v>41065.549801514731</c:v>
                </c:pt>
                <c:pt idx="5">
                  <c:v>292167.23577218392</c:v>
                </c:pt>
                <c:pt idx="6">
                  <c:v>2317.6645138053896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28434.742493608057</c:v>
                </c:pt>
                <c:pt idx="1">
                  <c:v>13308.815753862811</c:v>
                </c:pt>
                <c:pt idx="2">
                  <c:v>322.47424059287368</c:v>
                </c:pt>
                <c:pt idx="3">
                  <c:v>26907.60844805419</c:v>
                </c:pt>
                <c:pt idx="4">
                  <c:v>8058.2689106219814</c:v>
                </c:pt>
                <c:pt idx="5">
                  <c:v>73255.124630670849</c:v>
                </c:pt>
                <c:pt idx="6">
                  <c:v>585.55924506250392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618368"/>
        <c:axId val="182702080"/>
      </c:barChart>
      <c:catAx>
        <c:axId val="182618368"/>
        <c:scaling>
          <c:orientation val="minMax"/>
        </c:scaling>
        <c:axPos val="b"/>
        <c:numFmt formatCode="General" sourceLinked="0"/>
        <c:tickLblPos val="nextTo"/>
        <c:crossAx val="182702080"/>
        <c:crosses val="autoZero"/>
        <c:auto val="1"/>
        <c:lblAlgn val="ctr"/>
        <c:lblOffset val="100"/>
      </c:catAx>
      <c:valAx>
        <c:axId val="182702080"/>
        <c:scaling>
          <c:orientation val="minMax"/>
        </c:scaling>
        <c:axPos val="l"/>
        <c:majorGridlines/>
        <c:numFmt formatCode="#,##0" sourceLinked="1"/>
        <c:tickLblPos val="nextTo"/>
        <c:crossAx val="1826183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28434.742493608057</c:v>
                </c:pt>
                <c:pt idx="1">
                  <c:v>13308.815753862811</c:v>
                </c:pt>
                <c:pt idx="2">
                  <c:v>322.47424059287368</c:v>
                </c:pt>
                <c:pt idx="3">
                  <c:v>26907.60844805419</c:v>
                </c:pt>
                <c:pt idx="4">
                  <c:v>8058.2689106219814</c:v>
                </c:pt>
                <c:pt idx="5">
                  <c:v>73255.124630670849</c:v>
                </c:pt>
                <c:pt idx="6">
                  <c:v>585.55924506250392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44034</v>
      </c>
      <c r="B6" s="415"/>
      <c r="C6" s="416"/>
    </row>
    <row r="7" spans="1:7" s="413" customFormat="1" ht="15.75" customHeight="1">
      <c r="A7" s="417" t="str">
        <f>txtMunicipality</f>
        <v>LOCHRISTI</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44034</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8735</v>
      </c>
      <c r="C9" s="342">
        <v>9390</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3514.96</v>
      </c>
    </row>
    <row r="15" spans="1:6">
      <c r="A15" s="348" t="s">
        <v>184</v>
      </c>
      <c r="B15" s="334">
        <v>63</v>
      </c>
    </row>
    <row r="16" spans="1:6">
      <c r="A16" s="348" t="s">
        <v>6</v>
      </c>
      <c r="B16" s="334">
        <v>2168</v>
      </c>
    </row>
    <row r="17" spans="1:6">
      <c r="A17" s="348" t="s">
        <v>7</v>
      </c>
      <c r="B17" s="334">
        <v>1553</v>
      </c>
    </row>
    <row r="18" spans="1:6">
      <c r="A18" s="348" t="s">
        <v>8</v>
      </c>
      <c r="B18" s="334">
        <v>2661</v>
      </c>
    </row>
    <row r="19" spans="1:6">
      <c r="A19" s="348" t="s">
        <v>9</v>
      </c>
      <c r="B19" s="334">
        <v>2849</v>
      </c>
    </row>
    <row r="20" spans="1:6">
      <c r="A20" s="348" t="s">
        <v>10</v>
      </c>
      <c r="B20" s="334">
        <v>1760</v>
      </c>
    </row>
    <row r="21" spans="1:6">
      <c r="A21" s="348" t="s">
        <v>11</v>
      </c>
      <c r="B21" s="334">
        <v>13421</v>
      </c>
    </row>
    <row r="22" spans="1:6">
      <c r="A22" s="348" t="s">
        <v>12</v>
      </c>
      <c r="B22" s="334">
        <v>10639</v>
      </c>
    </row>
    <row r="23" spans="1:6">
      <c r="A23" s="348" t="s">
        <v>13</v>
      </c>
      <c r="B23" s="334">
        <v>280</v>
      </c>
    </row>
    <row r="24" spans="1:6">
      <c r="A24" s="348" t="s">
        <v>14</v>
      </c>
      <c r="B24" s="334">
        <v>19</v>
      </c>
    </row>
    <row r="25" spans="1:6">
      <c r="A25" s="348" t="s">
        <v>15</v>
      </c>
      <c r="B25" s="334">
        <v>3491</v>
      </c>
    </row>
    <row r="26" spans="1:6">
      <c r="A26" s="348" t="s">
        <v>16</v>
      </c>
      <c r="B26" s="334">
        <v>597</v>
      </c>
    </row>
    <row r="27" spans="1:6">
      <c r="A27" s="348" t="s">
        <v>17</v>
      </c>
      <c r="B27" s="334">
        <v>910</v>
      </c>
    </row>
    <row r="28" spans="1:6" s="356" customFormat="1">
      <c r="A28" s="355" t="s">
        <v>18</v>
      </c>
      <c r="B28" s="355">
        <v>48520</v>
      </c>
    </row>
    <row r="29" spans="1:6">
      <c r="A29" s="355" t="s">
        <v>744</v>
      </c>
      <c r="B29" s="355">
        <v>169</v>
      </c>
      <c r="C29" s="356"/>
      <c r="D29" s="356"/>
      <c r="E29" s="356"/>
      <c r="F29" s="356"/>
    </row>
    <row r="30" spans="1:6">
      <c r="A30" s="341" t="s">
        <v>745</v>
      </c>
      <c r="B30" s="341">
        <v>65</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231993.88008004799</v>
      </c>
      <c r="E38" s="334">
        <v>5</v>
      </c>
      <c r="F38" s="334">
        <v>155423.495406762</v>
      </c>
    </row>
    <row r="39" spans="1:6">
      <c r="A39" s="348" t="s">
        <v>30</v>
      </c>
      <c r="B39" s="348" t="s">
        <v>31</v>
      </c>
      <c r="C39" s="334">
        <v>5183</v>
      </c>
      <c r="D39" s="334">
        <v>84398377.285274193</v>
      </c>
      <c r="E39" s="334">
        <v>8222</v>
      </c>
      <c r="F39" s="334">
        <v>35089878.387079298</v>
      </c>
    </row>
    <row r="40" spans="1:6">
      <c r="A40" s="348" t="s">
        <v>30</v>
      </c>
      <c r="B40" s="348" t="s">
        <v>29</v>
      </c>
      <c r="C40" s="334">
        <v>0</v>
      </c>
      <c r="D40" s="334">
        <v>0</v>
      </c>
      <c r="E40" s="334">
        <v>0</v>
      </c>
      <c r="F40" s="334">
        <v>0</v>
      </c>
    </row>
    <row r="41" spans="1:6">
      <c r="A41" s="348" t="s">
        <v>32</v>
      </c>
      <c r="B41" s="348" t="s">
        <v>33</v>
      </c>
      <c r="C41" s="334">
        <v>98</v>
      </c>
      <c r="D41" s="334">
        <v>2179377.5813964</v>
      </c>
      <c r="E41" s="334">
        <v>226</v>
      </c>
      <c r="F41" s="334">
        <v>3187397.68689651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109562.779578405</v>
      </c>
      <c r="E44" s="334">
        <v>24</v>
      </c>
      <c r="F44" s="334">
        <v>326947.68890519399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7</v>
      </c>
      <c r="D47" s="334">
        <v>99135.376407817006</v>
      </c>
      <c r="E47" s="334">
        <v>10</v>
      </c>
      <c r="F47" s="334">
        <v>85874.439583347194</v>
      </c>
    </row>
    <row r="48" spans="1:6">
      <c r="A48" s="348" t="s">
        <v>32</v>
      </c>
      <c r="B48" s="348" t="s">
        <v>29</v>
      </c>
      <c r="C48" s="334">
        <v>28</v>
      </c>
      <c r="D48" s="334">
        <v>21594089.2616289</v>
      </c>
      <c r="E48" s="334">
        <v>31</v>
      </c>
      <c r="F48" s="334">
        <v>967197.60079460498</v>
      </c>
    </row>
    <row r="49" spans="1:6">
      <c r="A49" s="348" t="s">
        <v>32</v>
      </c>
      <c r="B49" s="348" t="s">
        <v>40</v>
      </c>
      <c r="C49" s="334">
        <v>0</v>
      </c>
      <c r="D49" s="334">
        <v>0</v>
      </c>
      <c r="E49" s="334">
        <v>0</v>
      </c>
      <c r="F49" s="334">
        <v>0</v>
      </c>
    </row>
    <row r="50" spans="1:6">
      <c r="A50" s="348" t="s">
        <v>32</v>
      </c>
      <c r="B50" s="348" t="s">
        <v>41</v>
      </c>
      <c r="C50" s="334">
        <v>12</v>
      </c>
      <c r="D50" s="334">
        <v>6427163.7114713797</v>
      </c>
      <c r="E50" s="334">
        <v>20</v>
      </c>
      <c r="F50" s="334">
        <v>3319911.86322005</v>
      </c>
    </row>
    <row r="51" spans="1:6">
      <c r="A51" s="348" t="s">
        <v>42</v>
      </c>
      <c r="B51" s="348" t="s">
        <v>43</v>
      </c>
      <c r="C51" s="334">
        <v>98</v>
      </c>
      <c r="D51" s="334">
        <v>67061998.375952199</v>
      </c>
      <c r="E51" s="334">
        <v>392</v>
      </c>
      <c r="F51" s="334">
        <v>12018527.0671928</v>
      </c>
    </row>
    <row r="52" spans="1:6">
      <c r="A52" s="348" t="s">
        <v>42</v>
      </c>
      <c r="B52" s="348" t="s">
        <v>29</v>
      </c>
      <c r="C52" s="334">
        <v>9</v>
      </c>
      <c r="D52" s="334">
        <v>192560.67628752199</v>
      </c>
      <c r="E52" s="334">
        <v>7</v>
      </c>
      <c r="F52" s="334">
        <v>80539.434255330198</v>
      </c>
    </row>
    <row r="53" spans="1:6">
      <c r="A53" s="348" t="s">
        <v>44</v>
      </c>
      <c r="B53" s="348" t="s">
        <v>45</v>
      </c>
      <c r="C53" s="334">
        <v>121</v>
      </c>
      <c r="D53" s="334">
        <v>1982002.3378355</v>
      </c>
      <c r="E53" s="334">
        <v>323</v>
      </c>
      <c r="F53" s="334">
        <v>1396190.69947151</v>
      </c>
    </row>
    <row r="54" spans="1:6">
      <c r="A54" s="348" t="s">
        <v>46</v>
      </c>
      <c r="B54" s="348" t="s">
        <v>47</v>
      </c>
      <c r="C54" s="334">
        <v>0</v>
      </c>
      <c r="D54" s="334">
        <v>0</v>
      </c>
      <c r="E54" s="334">
        <v>4</v>
      </c>
      <c r="F54" s="334">
        <v>1706700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59</v>
      </c>
      <c r="D57" s="334">
        <v>6348242.4899156196</v>
      </c>
      <c r="E57" s="334">
        <v>168</v>
      </c>
      <c r="F57" s="334">
        <v>2850074.90884561</v>
      </c>
    </row>
    <row r="58" spans="1:6">
      <c r="A58" s="348" t="s">
        <v>49</v>
      </c>
      <c r="B58" s="348" t="s">
        <v>51</v>
      </c>
      <c r="C58" s="334">
        <v>35</v>
      </c>
      <c r="D58" s="334">
        <v>1009339.77099259</v>
      </c>
      <c r="E58" s="334">
        <v>54</v>
      </c>
      <c r="F58" s="334">
        <v>1493178.69942144</v>
      </c>
    </row>
    <row r="59" spans="1:6">
      <c r="A59" s="348" t="s">
        <v>49</v>
      </c>
      <c r="B59" s="348" t="s">
        <v>52</v>
      </c>
      <c r="C59" s="334">
        <v>153</v>
      </c>
      <c r="D59" s="334">
        <v>9121966.9241017699</v>
      </c>
      <c r="E59" s="334">
        <v>305</v>
      </c>
      <c r="F59" s="334">
        <v>12596330.4142766</v>
      </c>
    </row>
    <row r="60" spans="1:6">
      <c r="A60" s="348" t="s">
        <v>49</v>
      </c>
      <c r="B60" s="348" t="s">
        <v>53</v>
      </c>
      <c r="C60" s="334">
        <v>76</v>
      </c>
      <c r="D60" s="334">
        <v>4851873.37508123</v>
      </c>
      <c r="E60" s="334">
        <v>103</v>
      </c>
      <c r="F60" s="334">
        <v>2983121.1916127698</v>
      </c>
    </row>
    <row r="61" spans="1:6">
      <c r="A61" s="348" t="s">
        <v>49</v>
      </c>
      <c r="B61" s="348" t="s">
        <v>54</v>
      </c>
      <c r="C61" s="334">
        <v>200</v>
      </c>
      <c r="D61" s="334">
        <v>6927495.3249549698</v>
      </c>
      <c r="E61" s="334">
        <v>367</v>
      </c>
      <c r="F61" s="334">
        <v>6936371.1034317901</v>
      </c>
    </row>
    <row r="62" spans="1:6">
      <c r="A62" s="348" t="s">
        <v>49</v>
      </c>
      <c r="B62" s="348" t="s">
        <v>55</v>
      </c>
      <c r="C62" s="334">
        <v>6</v>
      </c>
      <c r="D62" s="334">
        <v>430534.82688815298</v>
      </c>
      <c r="E62" s="334">
        <v>10</v>
      </c>
      <c r="F62" s="334">
        <v>105890.67048481799</v>
      </c>
    </row>
    <row r="63" spans="1:6">
      <c r="A63" s="348" t="s">
        <v>49</v>
      </c>
      <c r="B63" s="348" t="s">
        <v>29</v>
      </c>
      <c r="C63" s="334">
        <v>96</v>
      </c>
      <c r="D63" s="334">
        <v>6597143.1553956904</v>
      </c>
      <c r="E63" s="334">
        <v>84</v>
      </c>
      <c r="F63" s="334">
        <v>1624342.20487889</v>
      </c>
    </row>
    <row r="64" spans="1:6">
      <c r="A64" s="348" t="s">
        <v>56</v>
      </c>
      <c r="B64" s="348" t="s">
        <v>57</v>
      </c>
      <c r="C64" s="334">
        <v>0</v>
      </c>
      <c r="D64" s="334">
        <v>0</v>
      </c>
      <c r="E64" s="334">
        <v>0</v>
      </c>
      <c r="F64" s="334">
        <v>0</v>
      </c>
    </row>
    <row r="65" spans="1:6">
      <c r="A65" s="348" t="s">
        <v>56</v>
      </c>
      <c r="B65" s="348" t="s">
        <v>29</v>
      </c>
      <c r="C65" s="334">
        <v>4</v>
      </c>
      <c r="D65" s="334">
        <v>120405.49875904201</v>
      </c>
      <c r="E65" s="334">
        <v>5</v>
      </c>
      <c r="F65" s="334">
        <v>11833.0600494072</v>
      </c>
    </row>
    <row r="66" spans="1:6">
      <c r="A66" s="348" t="s">
        <v>56</v>
      </c>
      <c r="B66" s="348" t="s">
        <v>58</v>
      </c>
      <c r="C66" s="334">
        <v>0</v>
      </c>
      <c r="D66" s="334">
        <v>0</v>
      </c>
      <c r="E66" s="334">
        <v>11</v>
      </c>
      <c r="F66" s="334">
        <v>421357.76034010103</v>
      </c>
    </row>
    <row r="67" spans="1:6">
      <c r="A67" s="355" t="s">
        <v>56</v>
      </c>
      <c r="B67" s="355" t="s">
        <v>59</v>
      </c>
      <c r="C67" s="334">
        <v>0</v>
      </c>
      <c r="D67" s="334">
        <v>0</v>
      </c>
      <c r="E67" s="334">
        <v>0</v>
      </c>
      <c r="F67" s="334">
        <v>0</v>
      </c>
    </row>
    <row r="68" spans="1:6">
      <c r="A68" s="341" t="s">
        <v>56</v>
      </c>
      <c r="B68" s="341" t="s">
        <v>60</v>
      </c>
      <c r="C68" s="334">
        <v>9</v>
      </c>
      <c r="D68" s="334">
        <v>276434.712875403</v>
      </c>
      <c r="E68" s="334">
        <v>25</v>
      </c>
      <c r="F68" s="334">
        <v>219095.00728181301</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66384647</v>
      </c>
      <c r="E73" s="476">
        <v>61549278.108402386</v>
      </c>
    </row>
    <row r="74" spans="1:6">
      <c r="A74" s="348" t="s">
        <v>64</v>
      </c>
      <c r="B74" s="348" t="s">
        <v>657</v>
      </c>
      <c r="C74" s="1213" t="s">
        <v>659</v>
      </c>
      <c r="D74" s="476">
        <v>8117632.3246476343</v>
      </c>
      <c r="E74" s="476">
        <v>7335910.1746740835</v>
      </c>
    </row>
    <row r="75" spans="1:6">
      <c r="A75" s="348" t="s">
        <v>65</v>
      </c>
      <c r="B75" s="348" t="s">
        <v>656</v>
      </c>
      <c r="C75" s="1213" t="s">
        <v>660</v>
      </c>
      <c r="D75" s="476">
        <v>30794973</v>
      </c>
      <c r="E75" s="476">
        <v>29232857.155358408</v>
      </c>
    </row>
    <row r="76" spans="1:6">
      <c r="A76" s="348" t="s">
        <v>65</v>
      </c>
      <c r="B76" s="348" t="s">
        <v>657</v>
      </c>
      <c r="C76" s="1213" t="s">
        <v>661</v>
      </c>
      <c r="D76" s="476">
        <v>1490239.3246476341</v>
      </c>
      <c r="E76" s="476">
        <v>1314107.016414911</v>
      </c>
    </row>
    <row r="77" spans="1:6">
      <c r="A77" s="348" t="s">
        <v>66</v>
      </c>
      <c r="B77" s="348" t="s">
        <v>656</v>
      </c>
      <c r="C77" s="1213" t="s">
        <v>662</v>
      </c>
      <c r="D77" s="476">
        <v>151970177</v>
      </c>
      <c r="E77" s="476">
        <v>156578407.94098526</v>
      </c>
    </row>
    <row r="78" spans="1:6">
      <c r="A78" s="341" t="s">
        <v>66</v>
      </c>
      <c r="B78" s="341" t="s">
        <v>657</v>
      </c>
      <c r="C78" s="341" t="s">
        <v>663</v>
      </c>
      <c r="D78" s="1214">
        <v>36558240</v>
      </c>
      <c r="E78" s="1214">
        <v>37213875.125712</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628589.350704732</v>
      </c>
      <c r="C83" s="476">
        <v>626175.71583268361</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7061.6495409287909</v>
      </c>
    </row>
    <row r="91" spans="1:6">
      <c r="A91" s="348" t="s">
        <v>68</v>
      </c>
      <c r="B91" s="334">
        <v>6280.2530214619283</v>
      </c>
    </row>
    <row r="92" spans="1:6">
      <c r="A92" s="341" t="s">
        <v>69</v>
      </c>
      <c r="B92" s="342">
        <v>634.16444239812211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1839</v>
      </c>
    </row>
    <row r="98" spans="1:6">
      <c r="A98" s="348" t="s">
        <v>72</v>
      </c>
      <c r="B98" s="334">
        <v>1</v>
      </c>
    </row>
    <row r="99" spans="1:6">
      <c r="A99" s="348" t="s">
        <v>73</v>
      </c>
      <c r="B99" s="334">
        <v>88</v>
      </c>
    </row>
    <row r="100" spans="1:6">
      <c r="A100" s="348" t="s">
        <v>74</v>
      </c>
      <c r="B100" s="334">
        <v>900</v>
      </c>
    </row>
    <row r="101" spans="1:6">
      <c r="A101" s="348" t="s">
        <v>75</v>
      </c>
      <c r="B101" s="334">
        <v>104</v>
      </c>
    </row>
    <row r="102" spans="1:6">
      <c r="A102" s="348" t="s">
        <v>76</v>
      </c>
      <c r="B102" s="334">
        <v>110</v>
      </c>
    </row>
    <row r="103" spans="1:6">
      <c r="A103" s="348" t="s">
        <v>77</v>
      </c>
      <c r="B103" s="334">
        <v>301</v>
      </c>
    </row>
    <row r="104" spans="1:6">
      <c r="A104" s="348" t="s">
        <v>78</v>
      </c>
      <c r="B104" s="334">
        <v>3609</v>
      </c>
    </row>
    <row r="105" spans="1:6">
      <c r="A105" s="341" t="s">
        <v>79</v>
      </c>
      <c r="B105" s="341">
        <v>12</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74</v>
      </c>
      <c r="C123" s="334">
        <v>98</v>
      </c>
    </row>
    <row r="124" spans="1:6">
      <c r="A124" s="341" t="s">
        <v>89</v>
      </c>
      <c r="B124" s="334">
        <v>6</v>
      </c>
      <c r="C124" s="334">
        <v>3</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248</v>
      </c>
    </row>
    <row r="130" spans="1:6">
      <c r="A130" s="348" t="s">
        <v>295</v>
      </c>
      <c r="B130" s="334">
        <v>1</v>
      </c>
    </row>
    <row r="131" spans="1:6">
      <c r="A131" s="348" t="s">
        <v>296</v>
      </c>
      <c r="B131" s="334">
        <v>1</v>
      </c>
    </row>
    <row r="132" spans="1:6">
      <c r="A132" s="341" t="s">
        <v>297</v>
      </c>
      <c r="B132" s="342">
        <v>40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91885.552738031343</v>
      </c>
      <c r="C3" s="43" t="s">
        <v>170</v>
      </c>
      <c r="D3" s="43"/>
      <c r="E3" s="154"/>
      <c r="F3" s="43"/>
      <c r="G3" s="43"/>
      <c r="H3" s="43"/>
      <c r="I3" s="43"/>
      <c r="J3" s="43"/>
      <c r="K3" s="96"/>
    </row>
    <row r="4" spans="1:11">
      <c r="A4" s="383" t="s">
        <v>171</v>
      </c>
      <c r="B4" s="49">
        <f>IF(ISERROR('SEAP template'!B69),0,'SEAP template'!B69)</f>
        <v>23214.342004788843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2185.0755882352946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0.18894605999465264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3121.5365546218491</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13197.535714285714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0.23652419832006455</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1706.7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1706.7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0.18894605999465264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322.47424059287368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35089.878387079298</v>
      </c>
      <c r="C5" s="17">
        <f>IF(ISERROR('Eigen informatie GS &amp; warmtenet'!B57),0,'Eigen informatie GS &amp; warmtenet'!B57)</f>
        <v>0</v>
      </c>
      <c r="D5" s="30">
        <f>(SUM(HH_hh_gas_kWh,HH_rest_gas_kWh)/1000)*0.902</f>
        <v>76127.336311317325</v>
      </c>
      <c r="E5" s="17">
        <f>B46*B57</f>
        <v>4833.2203135230338</v>
      </c>
      <c r="F5" s="17">
        <f>B51*B62</f>
        <v>15517.439012911351</v>
      </c>
      <c r="G5" s="18"/>
      <c r="H5" s="17"/>
      <c r="I5" s="17"/>
      <c r="J5" s="17">
        <f>B50*B61+C50*C61</f>
        <v>0</v>
      </c>
      <c r="K5" s="17"/>
      <c r="L5" s="17"/>
      <c r="M5" s="17"/>
      <c r="N5" s="17">
        <f>B48*B59+C48*C59</f>
        <v>19466.143803720501</v>
      </c>
      <c r="O5" s="17">
        <f>B69*B70*B71</f>
        <v>545.60333333333335</v>
      </c>
      <c r="P5" s="17">
        <f>B77*B78*B79/1000-B77*B78*B79/1000/B80</f>
        <v>2288</v>
      </c>
    </row>
    <row r="6" spans="1:16">
      <c r="A6" s="16" t="s">
        <v>621</v>
      </c>
      <c r="B6" s="843">
        <f>kWh_PV_kleiner_dan_10kW</f>
        <v>6280.2530214619283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41370.131408541223</v>
      </c>
      <c r="C8" s="21">
        <f>C5</f>
        <v>0</v>
      </c>
      <c r="D8" s="21">
        <f>D5</f>
        <v>76127.336311317325</v>
      </c>
      <c r="E8" s="21">
        <f>E5</f>
        <v>4833.2203135230338</v>
      </c>
      <c r="F8" s="21">
        <f>F5</f>
        <v>15517.439012911351</v>
      </c>
      <c r="G8" s="21"/>
      <c r="H8" s="21"/>
      <c r="I8" s="21"/>
      <c r="J8" s="21">
        <f>J5</f>
        <v>0</v>
      </c>
      <c r="K8" s="21"/>
      <c r="L8" s="21">
        <f>L5</f>
        <v>0</v>
      </c>
      <c r="M8" s="21">
        <f>M5</f>
        <v>0</v>
      </c>
      <c r="N8" s="21">
        <f>N5</f>
        <v>19466.143803720501</v>
      </c>
      <c r="O8" s="21">
        <f>O5</f>
        <v>545.60333333333335</v>
      </c>
      <c r="P8" s="21">
        <f>P5</f>
        <v>2288</v>
      </c>
    </row>
    <row r="9" spans="1:16">
      <c r="B9" s="19"/>
      <c r="C9" s="19"/>
      <c r="D9" s="258"/>
      <c r="E9" s="19"/>
      <c r="F9" s="19"/>
      <c r="G9" s="19"/>
      <c r="H9" s="19"/>
      <c r="I9" s="19"/>
      <c r="J9" s="19"/>
      <c r="K9" s="19"/>
      <c r="L9" s="19"/>
      <c r="M9" s="19"/>
      <c r="N9" s="19"/>
      <c r="O9" s="19"/>
      <c r="P9" s="19"/>
    </row>
    <row r="10" spans="1:16">
      <c r="A10" s="24" t="s">
        <v>214</v>
      </c>
      <c r="B10" s="25">
        <f ca="1">'EF ele_warmte'!B12</f>
        <v>0.18894605999465264</v>
      </c>
      <c r="C10" s="25">
        <f ca="1">'EF ele_warmte'!B22</f>
        <v>0.23652419832006455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7816.7233311048931</v>
      </c>
      <c r="C12" s="23">
        <f ca="1">C10*C8</f>
        <v>0</v>
      </c>
      <c r="D12" s="23">
        <f>D8*D10</f>
        <v>15377.7219348861</v>
      </c>
      <c r="E12" s="23">
        <f>E10*E8</f>
        <v>1097.1410111697287</v>
      </c>
      <c r="F12" s="23">
        <f>F10*F8</f>
        <v>4143.1562164473307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1839</v>
      </c>
      <c r="C18" s="166" t="s">
        <v>111</v>
      </c>
      <c r="D18" s="228"/>
      <c r="E18" s="15"/>
    </row>
    <row r="19" spans="1:7">
      <c r="A19" s="171" t="s">
        <v>72</v>
      </c>
      <c r="B19" s="37">
        <f>aantalw2001_ander</f>
        <v>1</v>
      </c>
      <c r="C19" s="166" t="s">
        <v>111</v>
      </c>
      <c r="D19" s="229"/>
      <c r="E19" s="15"/>
    </row>
    <row r="20" spans="1:7">
      <c r="A20" s="171" t="s">
        <v>73</v>
      </c>
      <c r="B20" s="37">
        <f>aantalw2001_propaan</f>
        <v>88</v>
      </c>
      <c r="C20" s="167">
        <f>IF(ISERROR(B20/SUM($B$20,$B$21,$B$22)*100),0,B20/SUM($B$20,$B$21,$B$22)*100)</f>
        <v>8.0586080586080584</v>
      </c>
      <c r="D20" s="229"/>
      <c r="E20" s="15"/>
    </row>
    <row r="21" spans="1:7">
      <c r="A21" s="171" t="s">
        <v>74</v>
      </c>
      <c r="B21" s="37">
        <f>aantalw2001_elektriciteit</f>
        <v>900</v>
      </c>
      <c r="C21" s="167">
        <f>IF(ISERROR(B21/SUM($B$20,$B$21,$B$22)*100),0,B21/SUM($B$20,$B$21,$B$22)*100)</f>
        <v>82.417582417582409</v>
      </c>
      <c r="D21" s="229"/>
      <c r="E21" s="15"/>
    </row>
    <row r="22" spans="1:7">
      <c r="A22" s="171" t="s">
        <v>75</v>
      </c>
      <c r="B22" s="37">
        <f>aantalw2001_hout</f>
        <v>104</v>
      </c>
      <c r="C22" s="167">
        <f>IF(ISERROR(B22/SUM($B$20,$B$21,$B$22)*100),0,B22/SUM($B$20,$B$21,$B$22)*100)</f>
        <v>9.5238095238095237</v>
      </c>
      <c r="D22" s="229"/>
      <c r="E22" s="15"/>
    </row>
    <row r="23" spans="1:7">
      <c r="A23" s="171" t="s">
        <v>76</v>
      </c>
      <c r="B23" s="37">
        <f>aantalw2001_niet_gespec</f>
        <v>110</v>
      </c>
      <c r="C23" s="166" t="s">
        <v>111</v>
      </c>
      <c r="D23" s="228"/>
      <c r="E23" s="15"/>
    </row>
    <row r="24" spans="1:7">
      <c r="A24" s="171" t="s">
        <v>77</v>
      </c>
      <c r="B24" s="37">
        <f>aantalw2001_steenkool</f>
        <v>301</v>
      </c>
      <c r="C24" s="166" t="s">
        <v>111</v>
      </c>
      <c r="D24" s="229"/>
      <c r="E24" s="15"/>
    </row>
    <row r="25" spans="1:7">
      <c r="A25" s="171" t="s">
        <v>78</v>
      </c>
      <c r="B25" s="37">
        <f>aantalw2001_stookolie</f>
        <v>3609</v>
      </c>
      <c r="C25" s="166" t="s">
        <v>111</v>
      </c>
      <c r="D25" s="228"/>
      <c r="E25" s="52"/>
    </row>
    <row r="26" spans="1:7">
      <c r="A26" s="171" t="s">
        <v>79</v>
      </c>
      <c r="B26" s="37">
        <f>aantalw2001_WP</f>
        <v>12</v>
      </c>
      <c r="C26" s="166" t="s">
        <v>111</v>
      </c>
      <c r="D26" s="228"/>
      <c r="E26" s="15"/>
    </row>
    <row r="27" spans="1:7" s="15" customFormat="1">
      <c r="A27" s="171"/>
      <c r="B27" s="29"/>
      <c r="C27" s="36"/>
      <c r="D27" s="228"/>
    </row>
    <row r="28" spans="1:7" s="15" customFormat="1">
      <c r="A28" s="230" t="s">
        <v>794</v>
      </c>
      <c r="B28" s="37">
        <f>aantalHuishoudens2011</f>
        <v>8735</v>
      </c>
      <c r="C28" s="36"/>
      <c r="D28" s="228"/>
    </row>
    <row r="29" spans="1:7" s="15" customFormat="1">
      <c r="A29" s="230" t="s">
        <v>795</v>
      </c>
      <c r="B29" s="37">
        <f>SUM(HH_hh_gas_aantal,HH_rest_gas_aantal)</f>
        <v>5183</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5183</v>
      </c>
      <c r="C32" s="167">
        <f>IF(ISERROR(B32/SUM($B$32,$B$34,$B$35,$B$36,$B$38,$B$39)*100),0,B32/SUM($B$32,$B$34,$B$35,$B$36,$B$38,$B$39)*100)</f>
        <v>60.162507254788181</v>
      </c>
      <c r="D32" s="233"/>
      <c r="G32" s="15"/>
    </row>
    <row r="33" spans="1:7">
      <c r="A33" s="171" t="s">
        <v>72</v>
      </c>
      <c r="B33" s="34" t="s">
        <v>111</v>
      </c>
      <c r="C33" s="167"/>
      <c r="D33" s="233"/>
      <c r="G33" s="15"/>
    </row>
    <row r="34" spans="1:7">
      <c r="A34" s="171" t="s">
        <v>73</v>
      </c>
      <c r="B34" s="33">
        <f>IF((($B$28-$B$32-$B$39-$B$77-$B$38)*C20/100)&lt;0,0,($B$28-$B$32-$B$39-$B$77-$B$38)*C20/100)</f>
        <v>228.26813186813186</v>
      </c>
      <c r="C34" s="167">
        <f>IF(ISERROR(B34/SUM($B$32,$B$34,$B$35,$B$36,$B$38,$B$39)*100),0,B34/SUM($B$32,$B$34,$B$35,$B$36,$B$38,$B$39)*100)</f>
        <v>2.6496591046794187</v>
      </c>
      <c r="D34" s="233"/>
      <c r="G34" s="15"/>
    </row>
    <row r="35" spans="1:7">
      <c r="A35" s="171" t="s">
        <v>74</v>
      </c>
      <c r="B35" s="33">
        <f>IF((($B$28-$B$32-$B$39-$B$77-$B$38)*C21/100)&lt;0,0,($B$28-$B$32-$B$39-$B$77-$B$38)*C21/100)</f>
        <v>2334.5604395604391</v>
      </c>
      <c r="C35" s="167">
        <f>IF(ISERROR(B35/SUM($B$32,$B$34,$B$35,$B$36,$B$38,$B$39)*100),0,B35/SUM($B$32,$B$34,$B$35,$B$36,$B$38,$B$39)*100)</f>
        <v>27.098786297857686</v>
      </c>
      <c r="D35" s="233"/>
      <c r="G35" s="15"/>
    </row>
    <row r="36" spans="1:7">
      <c r="A36" s="171" t="s">
        <v>75</v>
      </c>
      <c r="B36" s="33">
        <f>IF((($B$28-$B$32-$B$39-$B$77-$B$38)*C22/100)&lt;0,0,($B$28-$B$32-$B$39-$B$77-$B$38)*C22/100)</f>
        <v>269.77142857142854</v>
      </c>
      <c r="C36" s="167">
        <f>IF(ISERROR(B36/SUM($B$32,$B$34,$B$35,$B$36,$B$38,$B$39)*100),0,B36/SUM($B$32,$B$34,$B$35,$B$36,$B$38,$B$39)*100)</f>
        <v>3.1314153055302221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599.40000000000009</v>
      </c>
      <c r="C39" s="167">
        <f>IF(ISERROR(B39/SUM($B$32,$B$34,$B$35,$B$36,$B$38,$B$39)*100),0,B39/SUM($B$32,$B$34,$B$35,$B$36,$B$38,$B$39)*100)</f>
        <v>6.9576320371445179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5183</v>
      </c>
      <c r="C44" s="34" t="s">
        <v>111</v>
      </c>
      <c r="D44" s="174"/>
    </row>
    <row r="45" spans="1:7">
      <c r="A45" s="171" t="s">
        <v>72</v>
      </c>
      <c r="B45" s="33" t="str">
        <f t="shared" si="0"/>
        <v>-</v>
      </c>
      <c r="C45" s="34" t="s">
        <v>111</v>
      </c>
      <c r="D45" s="174"/>
    </row>
    <row r="46" spans="1:7">
      <c r="A46" s="171" t="s">
        <v>73</v>
      </c>
      <c r="B46" s="33">
        <f t="shared" si="0"/>
        <v>228.26813186813186</v>
      </c>
      <c r="C46" s="34" t="s">
        <v>111</v>
      </c>
      <c r="D46" s="174"/>
    </row>
    <row r="47" spans="1:7">
      <c r="A47" s="171" t="s">
        <v>74</v>
      </c>
      <c r="B47" s="33">
        <f t="shared" si="0"/>
        <v>2334.5604395604391</v>
      </c>
      <c r="C47" s="34" t="s">
        <v>111</v>
      </c>
      <c r="D47" s="174"/>
    </row>
    <row r="48" spans="1:7">
      <c r="A48" s="171" t="s">
        <v>75</v>
      </c>
      <c r="B48" s="33">
        <f t="shared" si="0"/>
        <v>269.77142857142854</v>
      </c>
      <c r="C48" s="33">
        <f>B48*10</f>
        <v>2697.7142857142853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599.40000000000009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349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28589.309192951921</v>
      </c>
      <c r="C5" s="17">
        <f>IF(ISERROR('Eigen informatie GS &amp; warmtenet'!B58),0,'Eigen informatie GS &amp; warmtenet'!B58)</f>
        <v>0</v>
      </c>
      <c r="D5" s="30">
        <f>SUM(D6:D12)</f>
        <v>31828.50947233168</v>
      </c>
      <c r="E5" s="17">
        <f>SUM(E6:E12)</f>
        <v>524.88807194618096</v>
      </c>
      <c r="F5" s="17">
        <f>SUM(F6:F12)</f>
        <v>5113.2502336889447</v>
      </c>
      <c r="G5" s="18"/>
      <c r="H5" s="17"/>
      <c r="I5" s="17"/>
      <c r="J5" s="17">
        <f>SUM(J6:J12)</f>
        <v>6.5797339927731679E-2</v>
      </c>
      <c r="K5" s="17"/>
      <c r="L5" s="17"/>
      <c r="M5" s="17"/>
      <c r="N5" s="17">
        <f>SUM(N6:N12)</f>
        <v>2625.8346158467757</v>
      </c>
      <c r="O5" s="17">
        <f>B38*B39*B40</f>
        <v>1.5633333333333335</v>
      </c>
      <c r="P5" s="17">
        <f>B46*B47*B48/1000-B46*B47*B48/1000/B49</f>
        <v>19.066666666666666</v>
      </c>
      <c r="R5" s="32"/>
    </row>
    <row r="6" spans="1:18">
      <c r="A6" s="32" t="s">
        <v>54</v>
      </c>
      <c r="B6" s="37">
        <f>B26</f>
        <v>6936.3711034317903</v>
      </c>
      <c r="C6" s="33"/>
      <c r="D6" s="37">
        <f>IF(ISERROR(TER_kantoor_gas_kWh/1000),0,TER_kantoor_gas_kWh/1000)*0.902</f>
        <v>6248.600783109383</v>
      </c>
      <c r="E6" s="33">
        <f>$C$26*'E Balans VL '!I12/100/3.6*1000000</f>
        <v>4.3474867075423876E-2</v>
      </c>
      <c r="F6" s="33">
        <f>$C$26*('E Balans VL '!L12+'E Balans VL '!N12)/100/3.6*1000000</f>
        <v>1042.3427561517592</v>
      </c>
      <c r="G6" s="34"/>
      <c r="H6" s="33"/>
      <c r="I6" s="33"/>
      <c r="J6" s="33">
        <f>$C$26*('E Balans VL '!D12+'E Balans VL '!E12)/100/3.6*1000000</f>
        <v>0</v>
      </c>
      <c r="K6" s="33"/>
      <c r="L6" s="33"/>
      <c r="M6" s="33"/>
      <c r="N6" s="33">
        <f>$C$26*'E Balans VL '!Y12/100/3.6*1000000</f>
        <v>6.6336105305522439</v>
      </c>
      <c r="O6" s="33"/>
      <c r="P6" s="33"/>
      <c r="R6" s="32"/>
    </row>
    <row r="7" spans="1:18">
      <c r="A7" s="32" t="s">
        <v>53</v>
      </c>
      <c r="B7" s="37">
        <f t="shared" ref="B7:B12" si="0">B27</f>
        <v>2983.12119161277</v>
      </c>
      <c r="C7" s="33"/>
      <c r="D7" s="37">
        <f>IF(ISERROR(TER_horeca_gas_kWh/1000),0,TER_horeca_gas_kWh/1000)*0.902</f>
        <v>4376.3897843232699</v>
      </c>
      <c r="E7" s="33">
        <f>$C$27*'E Balans VL '!I9/100/3.6*1000000</f>
        <v>42.717798570760309</v>
      </c>
      <c r="F7" s="33">
        <f>$C$27*('E Balans VL '!L9+'E Balans VL '!N9)/100/3.6*1000000</f>
        <v>377.76152998552533</v>
      </c>
      <c r="G7" s="34"/>
      <c r="H7" s="33"/>
      <c r="I7" s="33"/>
      <c r="J7" s="33">
        <f>$C$27*('E Balans VL '!D9+'E Balans VL '!E9)/100/3.6*1000000</f>
        <v>0</v>
      </c>
      <c r="K7" s="33"/>
      <c r="L7" s="33"/>
      <c r="M7" s="33"/>
      <c r="N7" s="33">
        <f>$C$27*'E Balans VL '!Y9/100/3.6*1000000</f>
        <v>0.85758157041225802</v>
      </c>
      <c r="O7" s="33"/>
      <c r="P7" s="33"/>
      <c r="R7" s="32"/>
    </row>
    <row r="8" spans="1:18">
      <c r="A8" s="6" t="s">
        <v>52</v>
      </c>
      <c r="B8" s="37">
        <f t="shared" si="0"/>
        <v>12596.330414276599</v>
      </c>
      <c r="C8" s="33"/>
      <c r="D8" s="37">
        <f>IF(ISERROR(TER_handel_gas_kWh/1000),0,TER_handel_gas_kWh/1000)*0.902</f>
        <v>8228.0141655397965</v>
      </c>
      <c r="E8" s="33">
        <f>$C$28*'E Balans VL '!I13/100/3.6*1000000</f>
        <v>456.86735081593622</v>
      </c>
      <c r="F8" s="33">
        <f>$C$28*('E Balans VL '!L13+'E Balans VL '!N13)/100/3.6*1000000</f>
        <v>2426.1807837442361</v>
      </c>
      <c r="G8" s="34"/>
      <c r="H8" s="33"/>
      <c r="I8" s="33"/>
      <c r="J8" s="33">
        <f>$C$28*('E Balans VL '!D13+'E Balans VL '!E13)/100/3.6*1000000</f>
        <v>0</v>
      </c>
      <c r="K8" s="33"/>
      <c r="L8" s="33"/>
      <c r="M8" s="33"/>
      <c r="N8" s="33">
        <f>$C$28*'E Balans VL '!Y13/100/3.6*1000000</f>
        <v>17.448815910141715</v>
      </c>
      <c r="O8" s="33"/>
      <c r="P8" s="33"/>
      <c r="R8" s="32"/>
    </row>
    <row r="9" spans="1:18">
      <c r="A9" s="32" t="s">
        <v>51</v>
      </c>
      <c r="B9" s="37">
        <f t="shared" si="0"/>
        <v>1493.1786994214401</v>
      </c>
      <c r="C9" s="33"/>
      <c r="D9" s="37">
        <f>IF(ISERROR(TER_gezond_gas_kWh/1000),0,TER_gezond_gas_kWh/1000)*0.902</f>
        <v>910.42447343531626</v>
      </c>
      <c r="E9" s="33">
        <f>$C$29*'E Balans VL '!I10/100/3.6*1000000</f>
        <v>9.348772906005659E-2</v>
      </c>
      <c r="F9" s="33">
        <f>$C$29*('E Balans VL '!L10+'E Balans VL '!N10)/100/3.6*1000000</f>
        <v>221.81624209522832</v>
      </c>
      <c r="G9" s="34"/>
      <c r="H9" s="33"/>
      <c r="I9" s="33"/>
      <c r="J9" s="33">
        <f>$C$29*('E Balans VL '!D10+'E Balans VL '!E10)/100/3.6*1000000</f>
        <v>0</v>
      </c>
      <c r="K9" s="33"/>
      <c r="L9" s="33"/>
      <c r="M9" s="33"/>
      <c r="N9" s="33">
        <f>$C$29*'E Balans VL '!Y10/100/3.6*1000000</f>
        <v>23.096632202079391</v>
      </c>
      <c r="O9" s="33"/>
      <c r="P9" s="33"/>
      <c r="R9" s="32"/>
    </row>
    <row r="10" spans="1:18">
      <c r="A10" s="32" t="s">
        <v>50</v>
      </c>
      <c r="B10" s="37">
        <f t="shared" si="0"/>
        <v>2850.07490884561</v>
      </c>
      <c r="C10" s="33"/>
      <c r="D10" s="37">
        <f>IF(ISERROR(TER_ander_gas_kWh/1000),0,TER_ander_gas_kWh/1000)*0.902</f>
        <v>5726.1147259038889</v>
      </c>
      <c r="E10" s="33">
        <f>$C$30*'E Balans VL '!I14/100/3.6*1000000</f>
        <v>3.3971874468754164</v>
      </c>
      <c r="F10" s="33">
        <f>$C$30*('E Balans VL '!L14+'E Balans VL '!N14)/100/3.6*1000000</f>
        <v>745.70630053269895</v>
      </c>
      <c r="G10" s="34"/>
      <c r="H10" s="33"/>
      <c r="I10" s="33"/>
      <c r="J10" s="33">
        <f>$C$30*('E Balans VL '!D14+'E Balans VL '!E14)/100/3.6*1000000</f>
        <v>6.1863954285875933E-2</v>
      </c>
      <c r="K10" s="33"/>
      <c r="L10" s="33"/>
      <c r="M10" s="33"/>
      <c r="N10" s="33">
        <f>$C$30*'E Balans VL '!Y14/100/3.6*1000000</f>
        <v>2420.2138722403383</v>
      </c>
      <c r="O10" s="33"/>
      <c r="P10" s="33"/>
      <c r="R10" s="32"/>
    </row>
    <row r="11" spans="1:18">
      <c r="A11" s="32" t="s">
        <v>55</v>
      </c>
      <c r="B11" s="37">
        <f t="shared" si="0"/>
        <v>105.89067048481799</v>
      </c>
      <c r="C11" s="33"/>
      <c r="D11" s="37">
        <f>IF(ISERROR(TER_onderwijs_gas_kWh/1000),0,TER_onderwijs_gas_kWh/1000)*0.902</f>
        <v>388.34241385311401</v>
      </c>
      <c r="E11" s="33">
        <f>$C$31*'E Balans VL '!I11/100/3.6*1000000</f>
        <v>1.5977196644732417</v>
      </c>
      <c r="F11" s="33">
        <f>$C$31*('E Balans VL '!L11+'E Balans VL '!N11)/100/3.6*1000000</f>
        <v>18.553737122727242</v>
      </c>
      <c r="G11" s="34"/>
      <c r="H11" s="33"/>
      <c r="I11" s="33"/>
      <c r="J11" s="33">
        <f>$C$31*('E Balans VL '!D11+'E Balans VL '!E11)/100/3.6*1000000</f>
        <v>0</v>
      </c>
      <c r="K11" s="33"/>
      <c r="L11" s="33"/>
      <c r="M11" s="33"/>
      <c r="N11" s="33">
        <f>$C$31*'E Balans VL '!Y11/100/3.6*1000000</f>
        <v>0.29798439685961153</v>
      </c>
      <c r="O11" s="33"/>
      <c r="P11" s="33"/>
      <c r="R11" s="32"/>
    </row>
    <row r="12" spans="1:18">
      <c r="A12" s="32" t="s">
        <v>260</v>
      </c>
      <c r="B12" s="37">
        <f t="shared" si="0"/>
        <v>1624.34220487889</v>
      </c>
      <c r="C12" s="33"/>
      <c r="D12" s="37">
        <f>IF(ISERROR(TER_rest_gas_kWh/1000),0,TER_rest_gas_kWh/1000)*0.902</f>
        <v>5950.6231261669127</v>
      </c>
      <c r="E12" s="33">
        <f>$C$32*'E Balans VL '!I8/100/3.6*1000000</f>
        <v>20.171052852000361</v>
      </c>
      <c r="F12" s="33">
        <f>$C$32*('E Balans VL '!L8+'E Balans VL '!N8)/100/3.6*1000000</f>
        <v>280.88888405676903</v>
      </c>
      <c r="G12" s="34"/>
      <c r="H12" s="33"/>
      <c r="I12" s="33"/>
      <c r="J12" s="33">
        <f>$C$32*('E Balans VL '!D8+'E Balans VL '!E8)/100/3.6*1000000</f>
        <v>3.9333856418557415E-3</v>
      </c>
      <c r="K12" s="33"/>
      <c r="L12" s="33"/>
      <c r="M12" s="33"/>
      <c r="N12" s="33">
        <f>$C$32*'E Balans VL '!Y8/100/3.6*1000000</f>
        <v>157.28611899639193</v>
      </c>
      <c r="O12" s="33"/>
      <c r="P12" s="33"/>
      <c r="R12" s="32"/>
    </row>
    <row r="13" spans="1:18">
      <c r="A13" s="16" t="s">
        <v>488</v>
      </c>
      <c r="B13" s="247">
        <f ca="1">'lokale energieproductie'!N90+'lokale energieproductie'!N59</f>
        <v>135</v>
      </c>
      <c r="C13" s="247">
        <f ca="1">'lokale energieproductie'!O90+'lokale energieproductie'!O59</f>
        <v>192.85714285714286</v>
      </c>
      <c r="D13" s="310">
        <f ca="1">('lokale energieproductie'!P59+'lokale energieproductie'!P90)*(-1)</f>
        <v>-385.71428571428572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28724.309192951921</v>
      </c>
      <c r="C16" s="21">
        <f t="shared" ca="1" si="1"/>
        <v>192.85714285714286</v>
      </c>
      <c r="D16" s="21">
        <f t="shared" ca="1" si="1"/>
        <v>31442.795186617393</v>
      </c>
      <c r="E16" s="21">
        <f t="shared" si="1"/>
        <v>524.88807194618096</v>
      </c>
      <c r="F16" s="21">
        <f t="shared" ca="1" si="1"/>
        <v>5113.2502336889447</v>
      </c>
      <c r="G16" s="21">
        <f t="shared" si="1"/>
        <v>0</v>
      </c>
      <c r="H16" s="21">
        <f t="shared" si="1"/>
        <v>0</v>
      </c>
      <c r="I16" s="21">
        <f t="shared" si="1"/>
        <v>0</v>
      </c>
      <c r="J16" s="21">
        <f t="shared" si="1"/>
        <v>6.5797339927731679E-2</v>
      </c>
      <c r="K16" s="21">
        <f t="shared" si="1"/>
        <v>0</v>
      </c>
      <c r="L16" s="21">
        <f t="shared" ca="1" si="1"/>
        <v>0</v>
      </c>
      <c r="M16" s="21">
        <f t="shared" si="1"/>
        <v>0</v>
      </c>
      <c r="N16" s="21">
        <f t="shared" ca="1" si="1"/>
        <v>2625.8346158467757</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0.18894605999465264</v>
      </c>
      <c r="C18" s="25">
        <f ca="1">'EF ele_warmte'!B22</f>
        <v>0.23652419832006455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5427.3450480764459</v>
      </c>
      <c r="C20" s="23">
        <f t="shared" ref="C20:P20" ca="1" si="2">C16*C18</f>
        <v>45.615381104583875</v>
      </c>
      <c r="D20" s="23">
        <f t="shared" ca="1" si="2"/>
        <v>6351.4446276967137</v>
      </c>
      <c r="E20" s="23">
        <f t="shared" si="2"/>
        <v>119.14959233178308</v>
      </c>
      <c r="F20" s="23">
        <f t="shared" ca="1" si="2"/>
        <v>1365.2378123949484</v>
      </c>
      <c r="G20" s="23">
        <f t="shared" si="2"/>
        <v>0</v>
      </c>
      <c r="H20" s="23">
        <f t="shared" si="2"/>
        <v>0</v>
      </c>
      <c r="I20" s="23">
        <f t="shared" si="2"/>
        <v>0</v>
      </c>
      <c r="J20" s="23">
        <f t="shared" si="2"/>
        <v>2.3292258334417015E-2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6936.3711034317903</v>
      </c>
      <c r="C26" s="39">
        <f>IF(ISERROR(B26*3.6/1000000/'E Balans VL '!Z12*100),0,B26*3.6/1000000/'E Balans VL '!Z12*100)</f>
        <v>0.1466238970271557</v>
      </c>
      <c r="D26" s="237" t="s">
        <v>754</v>
      </c>
      <c r="F26" s="6"/>
    </row>
    <row r="27" spans="1:18">
      <c r="A27" s="231" t="s">
        <v>53</v>
      </c>
      <c r="B27" s="33">
        <f>IF(ISERROR(TER_horeca_ele_kWh/1000),0,TER_horeca_ele_kWh/1000)</f>
        <v>2983.12119161277</v>
      </c>
      <c r="C27" s="39">
        <f>IF(ISERROR(B27*3.6/1000000/'E Balans VL '!Z9*100),0,B27*3.6/1000000/'E Balans VL '!Z9*100)</f>
        <v>0.23515833166880379</v>
      </c>
      <c r="D27" s="237" t="s">
        <v>754</v>
      </c>
      <c r="F27" s="6"/>
    </row>
    <row r="28" spans="1:18">
      <c r="A28" s="171" t="s">
        <v>52</v>
      </c>
      <c r="B28" s="33">
        <f>IF(ISERROR(TER_handel_ele_kWh/1000),0,TER_handel_ele_kWh/1000)</f>
        <v>12596.330414276599</v>
      </c>
      <c r="C28" s="39">
        <f>IF(ISERROR(B28*3.6/1000000/'E Balans VL '!Z13*100),0,B28*3.6/1000000/'E Balans VL '!Z13*100)</f>
        <v>0.36559640350026235</v>
      </c>
      <c r="D28" s="237" t="s">
        <v>754</v>
      </c>
      <c r="F28" s="6"/>
    </row>
    <row r="29" spans="1:18">
      <c r="A29" s="231" t="s">
        <v>51</v>
      </c>
      <c r="B29" s="33">
        <f>IF(ISERROR(TER_gezond_ele_kWh/1000),0,TER_gezond_ele_kWh/1000)</f>
        <v>1493.1786994214401</v>
      </c>
      <c r="C29" s="39">
        <f>IF(ISERROR(B29*3.6/1000000/'E Balans VL '!Z10*100),0,B29*3.6/1000000/'E Balans VL '!Z10*100)</f>
        <v>0.1572562356905195</v>
      </c>
      <c r="D29" s="237" t="s">
        <v>754</v>
      </c>
      <c r="F29" s="6"/>
    </row>
    <row r="30" spans="1:18">
      <c r="A30" s="231" t="s">
        <v>50</v>
      </c>
      <c r="B30" s="33">
        <f>IF(ISERROR(TER_ander_ele_kWh/1000),0,TER_ander_ele_kWh/1000)</f>
        <v>2850.07490884561</v>
      </c>
      <c r="C30" s="39">
        <f>IF(ISERROR(B30*3.6/1000000/'E Balans VL '!Z14*100),0,B30*3.6/1000000/'E Balans VL '!Z14*100)</f>
        <v>0.21022214430964312</v>
      </c>
      <c r="D30" s="237" t="s">
        <v>754</v>
      </c>
      <c r="F30" s="6"/>
    </row>
    <row r="31" spans="1:18">
      <c r="A31" s="231" t="s">
        <v>55</v>
      </c>
      <c r="B31" s="33">
        <f>IF(ISERROR(TER_onderwijs_ele_kWh/1000),0,TER_onderwijs_ele_kWh/1000)</f>
        <v>105.89067048481799</v>
      </c>
      <c r="C31" s="39">
        <f>IF(ISERROR(B31*3.6/1000000/'E Balans VL '!Z11*100),0,B31*3.6/1000000/'E Balans VL '!Z11*100)</f>
        <v>2.6297613692502865E-2</v>
      </c>
      <c r="D31" s="237" t="s">
        <v>754</v>
      </c>
    </row>
    <row r="32" spans="1:18">
      <c r="A32" s="231" t="s">
        <v>260</v>
      </c>
      <c r="B32" s="33">
        <f>IF(ISERROR(TER_rest_ele_kWh/1000),0,TER_rest_ele_kWh/1000)</f>
        <v>1624.34220487889</v>
      </c>
      <c r="C32" s="39">
        <f>IF(ISERROR(B32*3.6/1000000/'E Balans VL '!Z8*100),0,B32*3.6/1000000/'E Balans VL '!Z8*100)</f>
        <v>1.3366180251049046E-2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7887.3292793997061</v>
      </c>
      <c r="C5" s="17">
        <f>IF(ISERROR('Eigen informatie GS &amp; warmtenet'!B59),0,'Eigen informatie GS &amp; warmtenet'!B59)</f>
        <v>0</v>
      </c>
      <c r="D5" s="30">
        <f>SUM(D6:D15)</f>
        <v>27429.214496855573</v>
      </c>
      <c r="E5" s="17">
        <f>SUM(E6:E15)</f>
        <v>995.29425055315085</v>
      </c>
      <c r="F5" s="17">
        <f>SUM(F6:F15)</f>
        <v>2996.7249147182411</v>
      </c>
      <c r="G5" s="18"/>
      <c r="H5" s="17"/>
      <c r="I5" s="17"/>
      <c r="J5" s="17">
        <f>SUM(J6:J15)</f>
        <v>3.4758303072950674</v>
      </c>
      <c r="K5" s="17"/>
      <c r="L5" s="17"/>
      <c r="M5" s="17"/>
      <c r="N5" s="17">
        <f>SUM(N6:N15)</f>
        <v>1753.511029680762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326.94768890519401</v>
      </c>
      <c r="C8" s="33"/>
      <c r="D8" s="37">
        <f>IF( ISERROR(IND_metaal_Gas_kWH/1000),0,IND_metaal_Gas_kWH/1000)*0.902</f>
        <v>98.825627179721309</v>
      </c>
      <c r="E8" s="33">
        <f>C30*'E Balans VL '!I18/100/3.6*1000000</f>
        <v>3.0059682304023405</v>
      </c>
      <c r="F8" s="33">
        <f>C30*'E Balans VL '!L18/100/3.6*1000000+C30*'E Balans VL '!N18/100/3.6*1000000</f>
        <v>30.656808028894662</v>
      </c>
      <c r="G8" s="34"/>
      <c r="H8" s="33"/>
      <c r="I8" s="33"/>
      <c r="J8" s="40">
        <f>C30*'E Balans VL '!D18/100/3.6*1000000+C30*'E Balans VL '!E18/100/3.6*1000000</f>
        <v>0</v>
      </c>
      <c r="K8" s="33"/>
      <c r="L8" s="33"/>
      <c r="M8" s="33"/>
      <c r="N8" s="33">
        <f>C30*'E Balans VL '!Y18/100/3.6*1000000</f>
        <v>4.6644490860412677</v>
      </c>
      <c r="O8" s="33"/>
      <c r="P8" s="33"/>
      <c r="R8" s="32"/>
    </row>
    <row r="9" spans="1:18">
      <c r="A9" s="6" t="s">
        <v>33</v>
      </c>
      <c r="B9" s="37">
        <f t="shared" si="0"/>
        <v>3187.3976868965101</v>
      </c>
      <c r="C9" s="33"/>
      <c r="D9" s="37">
        <f>IF( ISERROR(IND_andere_gas_kWh/1000),0,IND_andere_gas_kWh/1000)*0.902</f>
        <v>1965.7985784195528</v>
      </c>
      <c r="E9" s="33">
        <f>C31*'E Balans VL '!I19/100/3.6*1000000</f>
        <v>931.73839519390333</v>
      </c>
      <c r="F9" s="33">
        <f>C31*'E Balans VL '!L19/100/3.6*1000000+C31*'E Balans VL '!N19/100/3.6*1000000</f>
        <v>2561.3153052574935</v>
      </c>
      <c r="G9" s="34"/>
      <c r="H9" s="33"/>
      <c r="I9" s="33"/>
      <c r="J9" s="40">
        <f>C31*'E Balans VL '!D19/100/3.6*1000000+C31*'E Balans VL '!E19/100/3.6*1000000</f>
        <v>0</v>
      </c>
      <c r="K9" s="33"/>
      <c r="L9" s="33"/>
      <c r="M9" s="33"/>
      <c r="N9" s="33">
        <f>C31*'E Balans VL '!Y19/100/3.6*1000000</f>
        <v>1053.1656287839255</v>
      </c>
      <c r="O9" s="33"/>
      <c r="P9" s="33"/>
      <c r="R9" s="32"/>
    </row>
    <row r="10" spans="1:18">
      <c r="A10" s="6" t="s">
        <v>41</v>
      </c>
      <c r="B10" s="37">
        <f t="shared" si="0"/>
        <v>3319.9118632200498</v>
      </c>
      <c r="C10" s="33"/>
      <c r="D10" s="37">
        <f>IF( ISERROR(IND_voed_gas_kWh/1000),0,IND_voed_gas_kWh/1000)*0.902</f>
        <v>5797.3016677471842</v>
      </c>
      <c r="E10" s="33">
        <f>C32*'E Balans VL '!I20/100/3.6*1000000</f>
        <v>7.0233250224851274</v>
      </c>
      <c r="F10" s="33">
        <f>C32*'E Balans VL '!L20/100/3.6*1000000+C32*'E Balans VL '!N20/100/3.6*1000000</f>
        <v>211.08338745405388</v>
      </c>
      <c r="G10" s="34"/>
      <c r="H10" s="33"/>
      <c r="I10" s="33"/>
      <c r="J10" s="40">
        <f>C32*'E Balans VL '!D20/100/3.6*1000000+C32*'E Balans VL '!E20/100/3.6*1000000</f>
        <v>0</v>
      </c>
      <c r="K10" s="33"/>
      <c r="L10" s="33"/>
      <c r="M10" s="33"/>
      <c r="N10" s="33">
        <f>C32*'E Balans VL '!Y20/100/3.6*1000000</f>
        <v>229.10668025296792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85.874439583347197</v>
      </c>
      <c r="C13" s="33"/>
      <c r="D13" s="37">
        <f>IF( ISERROR(IND_papier_gas_kWh/1000),0,IND_papier_gas_kWh/1000)*0.902</f>
        <v>89.420109519850939</v>
      </c>
      <c r="E13" s="33">
        <f>C35*'E Balans VL '!I23/100/3.6*1000000</f>
        <v>0.12183619043689671</v>
      </c>
      <c r="F13" s="33">
        <f>C35*'E Balans VL '!L23/100/3.6*1000000+C35*'E Balans VL '!N23/100/3.6*1000000</f>
        <v>2.0965179789416872</v>
      </c>
      <c r="G13" s="34"/>
      <c r="H13" s="33"/>
      <c r="I13" s="33"/>
      <c r="J13" s="40">
        <f>C35*'E Balans VL '!D23/100/3.6*1000000+C35*'E Balans VL '!E23/100/3.6*1000000</f>
        <v>1.3281288319933566E-2</v>
      </c>
      <c r="K13" s="33"/>
      <c r="L13" s="33"/>
      <c r="M13" s="33"/>
      <c r="N13" s="33">
        <f>C35*'E Balans VL '!Y23/100/3.6*1000000</f>
        <v>249.61666799268909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967.19760079460502</v>
      </c>
      <c r="C15" s="33"/>
      <c r="D15" s="37">
        <f>IF( ISERROR(IND_rest_gas_kWh/1000),0,IND_rest_gas_kWh/1000)*0.902</f>
        <v>19477.868513989266</v>
      </c>
      <c r="E15" s="33">
        <f>C37*'E Balans VL '!I15/100/3.6*1000000</f>
        <v>53.404725915923208</v>
      </c>
      <c r="F15" s="33">
        <f>C37*'E Balans VL '!L15/100/3.6*1000000+C37*'E Balans VL '!N15/100/3.6*1000000</f>
        <v>191.57289599885689</v>
      </c>
      <c r="G15" s="34"/>
      <c r="H15" s="33"/>
      <c r="I15" s="33"/>
      <c r="J15" s="40">
        <f>C37*'E Balans VL '!D15/100/3.6*1000000+C37*'E Balans VL '!E15/100/3.6*1000000</f>
        <v>3.462549018975134</v>
      </c>
      <c r="K15" s="33"/>
      <c r="L15" s="33"/>
      <c r="M15" s="33"/>
      <c r="N15" s="33">
        <f>C37*'E Balans VL '!Y15/100/3.6*1000000</f>
        <v>216.95760356513813</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7887.3292793997061</v>
      </c>
      <c r="C18" s="21">
        <f>C5+C16</f>
        <v>0</v>
      </c>
      <c r="D18" s="21">
        <f>MAX((D5+D16),0)</f>
        <v>27429.214496855573</v>
      </c>
      <c r="E18" s="21">
        <f>MAX((E5+E16),0)</f>
        <v>995.29425055315085</v>
      </c>
      <c r="F18" s="21">
        <f>MAX((F5+F16),0)</f>
        <v>2996.7249147182411</v>
      </c>
      <c r="G18" s="21"/>
      <c r="H18" s="21"/>
      <c r="I18" s="21"/>
      <c r="J18" s="21">
        <f>MAX((J5+J16),0)</f>
        <v>3.4758303072950674</v>
      </c>
      <c r="K18" s="21"/>
      <c r="L18" s="21">
        <f>MAX((L5+L16),0)</f>
        <v>0</v>
      </c>
      <c r="M18" s="21"/>
      <c r="N18" s="21">
        <f>MAX((N5+N16),0)</f>
        <v>1753.511029680762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0.18894605999465264</v>
      </c>
      <c r="C20" s="25">
        <f ca="1">'EF ele_warmte'!B22</f>
        <v>0.23652419832006455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1490.2797912230371</v>
      </c>
      <c r="C22" s="23">
        <f ca="1">C18*C20</f>
        <v>0</v>
      </c>
      <c r="D22" s="23">
        <f>D18*D20</f>
        <v>5540.7013283648257</v>
      </c>
      <c r="E22" s="23">
        <f>E18*E20</f>
        <v>225.93179487556526</v>
      </c>
      <c r="F22" s="23">
        <f>F18*F20</f>
        <v>800.12555222977039</v>
      </c>
      <c r="G22" s="23"/>
      <c r="H22" s="23"/>
      <c r="I22" s="23"/>
      <c r="J22" s="23">
        <f>J18*J20</f>
        <v>1.2304439287824538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326.94768890519401</v>
      </c>
      <c r="C30" s="39">
        <f>IF(ISERROR(B30*3.6/1000000/'E Balans VL '!Z18*100),0,B30*3.6/1000000/'E Balans VL '!Z18*100)</f>
        <v>1.8528963878963758E-2</v>
      </c>
      <c r="D30" s="237" t="s">
        <v>754</v>
      </c>
    </row>
    <row r="31" spans="1:18">
      <c r="A31" s="6" t="s">
        <v>33</v>
      </c>
      <c r="B31" s="37">
        <f>IF( ISERROR(IND_ander_ele_kWh/1000),0,IND_ander_ele_kWh/1000)</f>
        <v>3187.3976868965101</v>
      </c>
      <c r="C31" s="39">
        <f>IF(ISERROR(B31*3.6/1000000/'E Balans VL '!Z19*100),0,B31*3.6/1000000/'E Balans VL '!Z19*100)</f>
        <v>0.14456708698465415</v>
      </c>
      <c r="D31" s="237" t="s">
        <v>754</v>
      </c>
    </row>
    <row r="32" spans="1:18">
      <c r="A32" s="171" t="s">
        <v>41</v>
      </c>
      <c r="B32" s="37">
        <f>IF( ISERROR(IND_voed_ele_kWh/1000),0,IND_voed_ele_kWh/1000)</f>
        <v>3319.9118632200498</v>
      </c>
      <c r="C32" s="39">
        <f>IF(ISERROR(B32*3.6/1000000/'E Balans VL '!Z20*100),0,B32*3.6/1000000/'E Balans VL '!Z20*100)</f>
        <v>0.10269994505671708</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85.874439583347197</v>
      </c>
      <c r="C35" s="39">
        <f>IF(ISERROR(B35*3.6/1000000/'E Balans VL '!Z22*100),0,B35*3.6/1000000/'E Balans VL '!Z22*100)</f>
        <v>1.5446132429385877E-2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967.19760079460502</v>
      </c>
      <c r="C37" s="39">
        <f>IF(ISERROR(B37*3.6/1000000/'E Balans VL '!Z15*100),0,B37*3.6/1000000/'E Balans VL '!Z15*100)</f>
        <v>7.6662288179195261E-3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12099.066501448131</v>
      </c>
      <c r="C5" s="17">
        <f>'Eigen informatie GS &amp; warmtenet'!B60</f>
        <v>0</v>
      </c>
      <c r="D5" s="30">
        <f>IF(ISERROR(SUM(LB_lb_gas_kWh,LB_rest_gas_kWh,onbekend_gas_kWh)/1000),0,SUM(LB_lb_gas_kWh,LB_rest_gas_kWh,onbekend_gas_kWh)/1000)*0.902</f>
        <v>62451.378373847852</v>
      </c>
      <c r="E5" s="17">
        <f>B17*'E Balans VL '!I25/3.6*1000000/100</f>
        <v>355.628519292036</v>
      </c>
      <c r="F5" s="17">
        <f>B17*('E Balans VL '!L25/3.6*1000000+'E Balans VL '!N25/3.6*1000000)/100</f>
        <v>50404.057245795571</v>
      </c>
      <c r="G5" s="18"/>
      <c r="H5" s="17"/>
      <c r="I5" s="17"/>
      <c r="J5" s="17">
        <f>('E Balans VL '!D25+'E Balans VL '!E25)/3.6*1000000*landbouw!B17/100</f>
        <v>1752.8949056324657</v>
      </c>
      <c r="K5" s="17"/>
      <c r="L5" s="17">
        <f>L6*(-1)</f>
        <v>0</v>
      </c>
      <c r="M5" s="17"/>
      <c r="N5" s="17">
        <f>N6*(-1)</f>
        <v>124.71428571428569</v>
      </c>
      <c r="O5" s="17"/>
      <c r="P5" s="17"/>
      <c r="R5" s="32"/>
    </row>
    <row r="6" spans="1:18">
      <c r="A6" s="16" t="s">
        <v>488</v>
      </c>
      <c r="B6" s="17" t="s">
        <v>211</v>
      </c>
      <c r="C6" s="17">
        <f>'lokale energieproductie'!O91+'lokale energieproductie'!O60</f>
        <v>13004.678571428571</v>
      </c>
      <c r="D6" s="310">
        <f>('lokale energieproductie'!P60+'lokale energieproductie'!P91)*(-1)</f>
        <v>-25884.642857142859</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12099.066501448131</v>
      </c>
      <c r="C8" s="21">
        <f>C5+C6</f>
        <v>13004.678571428571</v>
      </c>
      <c r="D8" s="21">
        <f>MAX((D5+D6),0)</f>
        <v>36566.735516704997</v>
      </c>
      <c r="E8" s="21">
        <f>MAX((E5+E6),0)</f>
        <v>355.628519292036</v>
      </c>
      <c r="F8" s="21">
        <f>MAX((F5+F6),0)</f>
        <v>50404.057245795571</v>
      </c>
      <c r="G8" s="21"/>
      <c r="H8" s="21"/>
      <c r="I8" s="21"/>
      <c r="J8" s="21">
        <f>MAX((J5+J6),0)</f>
        <v>1752.8949056324657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0.18894605999465264</v>
      </c>
      <c r="C10" s="31">
        <f ca="1">'EF ele_warmte'!B22</f>
        <v>0.23652419832006455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2286.0709450619106</v>
      </c>
      <c r="C12" s="23">
        <f ca="1">C8*C10</f>
        <v>3075.9211735172648</v>
      </c>
      <c r="D12" s="23">
        <f>D8*D10</f>
        <v>7386.48057437441</v>
      </c>
      <c r="E12" s="23">
        <f>E8*E10</f>
        <v>80.727673879292169</v>
      </c>
      <c r="F12" s="23">
        <f>F8*F10</f>
        <v>13457.883284627418</v>
      </c>
      <c r="G12" s="23"/>
      <c r="H12" s="23"/>
      <c r="I12" s="23"/>
      <c r="J12" s="23">
        <f>J8*J10</f>
        <v>620.5247965938928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1.7168954962189862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830.34139749924429</v>
      </c>
      <c r="C26" s="247">
        <f>B26*'GWP N2O_CH4'!B5</f>
        <v>17437.16934748413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228.60751214665518</v>
      </c>
      <c r="C27" s="247">
        <f>B27*'GWP N2O_CH4'!B5</f>
        <v>4800.7577550797587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10.900726362866376</v>
      </c>
      <c r="C28" s="247">
        <f>B28*'GWP N2O_CH4'!B4</f>
        <v>3379.2251724885764</v>
      </c>
      <c r="D28" s="50"/>
    </row>
    <row r="29" spans="1:4">
      <c r="A29" s="41" t="s">
        <v>277</v>
      </c>
      <c r="B29" s="247">
        <f>B34*'ha_N2O bodem landbouw'!B4</f>
        <v>22.869174703727268</v>
      </c>
      <c r="C29" s="247">
        <f>B29*'GWP N2O_CH4'!B4</f>
        <v>7089.4441581554529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5.2186668567084761E-3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3.528588804852915E-4</v>
      </c>
      <c r="C5" s="463" t="s">
        <v>211</v>
      </c>
      <c r="D5" s="448">
        <f>SUM(D6:D11)</f>
        <v>1.1898733465994585E-3</v>
      </c>
      <c r="E5" s="448">
        <f>SUM(E6:E11)</f>
        <v>1.8284295603799357E-3</v>
      </c>
      <c r="F5" s="461" t="s">
        <v>211</v>
      </c>
      <c r="G5" s="448">
        <f>SUM(G6:G11)</f>
        <v>0.85640007676513308</v>
      </c>
      <c r="H5" s="448">
        <f>SUM(H6:H11)</f>
        <v>0.13790180302290514</v>
      </c>
      <c r="I5" s="463" t="s">
        <v>211</v>
      </c>
      <c r="J5" s="463" t="s">
        <v>211</v>
      </c>
      <c r="K5" s="463" t="s">
        <v>211</v>
      </c>
      <c r="L5" s="463" t="s">
        <v>211</v>
      </c>
      <c r="M5" s="448">
        <f>SUM(M6:M11)</f>
        <v>5.4129007204359272E-2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9.4017384336184167E-5</v>
      </c>
      <c r="C6" s="449"/>
      <c r="D6" s="962">
        <f>vkm_2011_GW_PW*SUMIFS(TableVerdeelsleutelVkm[CNG],TableVerdeelsleutelVkm[Voertuigtype],"Lichte voertuigen")*SUMIFS(TableECFTransport[EnergieConsumptieFactor (PJ per km)],TableECFTransport[Index],CONCATENATE($A6,"_CNG_CNG"))</f>
        <v>2.8199819193829576E-4</v>
      </c>
      <c r="E6" s="962">
        <f>vkm_2011_GW_PW*SUMIFS(TableVerdeelsleutelVkm[LPG],TableVerdeelsleutelVkm[Voertuigtype],"Lichte voertuigen")*SUMIFS(TableECFTransport[EnergieConsumptieFactor (PJ per km)],TableECFTransport[Index],CONCATENATE($A6,"_LPG_LPG"))</f>
        <v>3.8525003723170542E-4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9.9607999491926377E-2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3.2068439557067736E-2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6.7713370052050444E-3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7.6176260209456628E-2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2.3212915406751659E-5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4.4514877033222629E-3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4.3613439899189562E-5</v>
      </c>
      <c r="C8" s="449"/>
      <c r="D8" s="451">
        <f>vkm_2011_NGW_PW*SUMIFS(TableVerdeelsleutelVkm[CNG],TableVerdeelsleutelVkm[Voertuigtype],"Lichte voertuigen")*SUMIFS(TableECFTransport[EnergieConsumptieFactor (PJ per km)],TableECFTransport[Index],CONCATENATE($A8,"_CNG_CNG"))</f>
        <v>2.3259104725493424E-4</v>
      </c>
      <c r="E8" s="451">
        <f>vkm_2011_NGW_PW*SUMIFS(TableVerdeelsleutelVkm[LPG],TableVerdeelsleutelVkm[Voertuigtype],"Lichte voertuigen")*SUMIFS(TableECFTransport[EnergieConsumptieFactor (PJ per km)],TableECFTransport[Index],CONCATENATE($A8,"_LPG_LPG"))</f>
        <v>2.9427513146730968E-4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7.0904156629224932E-2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2.5703536961673275E-2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4.9053913594142382E-3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1.7931510044897243E-2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5.1440757677094031E-6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1.0478484071667518E-3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2.1522805624991776E-4</v>
      </c>
      <c r="C10" s="449"/>
      <c r="D10" s="451">
        <f>vkm_2011_SW_PW*SUMIFS(TableVerdeelsleutelVkm[CNG],TableVerdeelsleutelVkm[Voertuigtype],"Lichte voertuigen")*SUMIFS(TableECFTransport[EnergieConsumptieFactor (PJ per km)],TableECFTransport[Index],CONCATENATE($A10,"_CNG_CNG"))</f>
        <v>6.752841074062285E-4</v>
      </c>
      <c r="E10" s="451">
        <f>vkm_2011_SW_PW*SUMIFS(TableVerdeelsleutelVkm[LPG],TableVerdeelsleutelVkm[Voertuigtype],"Lichte voertuigen")*SUMIFS(TableECFTransport[EnergieConsumptieFactor (PJ per km)],TableECFTransport[Index],CONCATENATE($A10,"_LPG_LPG"))</f>
        <v>1.1489043916809206E-3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0.2648250653523605</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7.9993878086810771E-2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1.784653705166676E-2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0.32695508503726745</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1.0759142617890085E-4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1.9106405677584218E-2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98.016355690358751</v>
      </c>
      <c r="C14" s="21"/>
      <c r="D14" s="21">
        <f t="shared" ref="D14:M14" si="0">((D5)*10^9/3600)+D12</f>
        <v>330.52037405540511</v>
      </c>
      <c r="E14" s="21">
        <f t="shared" si="0"/>
        <v>507.89710010553767</v>
      </c>
      <c r="F14" s="21"/>
      <c r="G14" s="21">
        <f t="shared" si="0"/>
        <v>237888.91021253695</v>
      </c>
      <c r="H14" s="21">
        <f t="shared" si="0"/>
        <v>38306.056395251428</v>
      </c>
      <c r="I14" s="21"/>
      <c r="J14" s="21"/>
      <c r="K14" s="21"/>
      <c r="L14" s="21"/>
      <c r="M14" s="21">
        <f t="shared" si="0"/>
        <v>15035.835334544241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0.18894605999465264</v>
      </c>
      <c r="C16" s="56">
        <f ca="1">'EF ele_warmte'!B22</f>
        <v>0.23652419832006455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18.519804222727736</v>
      </c>
      <c r="C18" s="23"/>
      <c r="D18" s="23">
        <f t="shared" ref="D18:M18" si="1">D14*D16</f>
        <v>66.765115559191841</v>
      </c>
      <c r="E18" s="23">
        <f t="shared" si="1"/>
        <v>115.29264172395706</v>
      </c>
      <c r="F18" s="23"/>
      <c r="G18" s="23">
        <f t="shared" si="1"/>
        <v>63516.339026747373</v>
      </c>
      <c r="H18" s="23">
        <f t="shared" si="1"/>
        <v>9538.2080424176056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7.8951808323034223E-3</v>
      </c>
      <c r="H50" s="321">
        <f t="shared" si="2"/>
        <v>0</v>
      </c>
      <c r="I50" s="321">
        <f t="shared" si="2"/>
        <v>0</v>
      </c>
      <c r="J50" s="321">
        <f t="shared" si="2"/>
        <v>0</v>
      </c>
      <c r="K50" s="321">
        <f t="shared" si="2"/>
        <v>0</v>
      </c>
      <c r="L50" s="321">
        <f t="shared" si="2"/>
        <v>0</v>
      </c>
      <c r="M50" s="321">
        <f t="shared" si="2"/>
        <v>4.4841141739598021E-4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7.8951808323034223E-3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4.4841141739598021E-4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2193.1057867509508</v>
      </c>
      <c r="H54" s="21">
        <f t="shared" si="3"/>
        <v>0</v>
      </c>
      <c r="I54" s="21">
        <f t="shared" si="3"/>
        <v>0</v>
      </c>
      <c r="J54" s="21">
        <f t="shared" si="3"/>
        <v>0</v>
      </c>
      <c r="K54" s="21">
        <f t="shared" si="3"/>
        <v>0</v>
      </c>
      <c r="L54" s="21">
        <f t="shared" si="3"/>
        <v>0</v>
      </c>
      <c r="M54" s="21">
        <f t="shared" si="3"/>
        <v>124.55872705443895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0.18894605999465264</v>
      </c>
      <c r="C56" s="56">
        <f ca="1">'EF ele_warmte'!B22</f>
        <v>0.23652419832006455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585.55924506250392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7061.6495409287909</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6914.4174638600507</v>
      </c>
      <c r="C6" s="1204"/>
      <c r="D6" s="1189"/>
      <c r="E6" s="1189"/>
      <c r="F6" s="1207"/>
      <c r="G6" s="1210"/>
      <c r="H6" s="1201"/>
      <c r="I6" s="1189"/>
      <c r="J6" s="1189"/>
      <c r="K6" s="1189"/>
      <c r="L6" s="1193"/>
      <c r="M6" s="575"/>
      <c r="N6" s="1167"/>
      <c r="O6" s="1168"/>
      <c r="Q6" s="573"/>
      <c r="R6" s="1155"/>
      <c r="S6" s="1155"/>
    </row>
    <row r="7" spans="1:19" s="563" customFormat="1">
      <c r="A7" s="576" t="s">
        <v>252</v>
      </c>
      <c r="B7" s="577">
        <f>N57</f>
        <v>9238.2749999999996</v>
      </c>
      <c r="C7" s="578">
        <f>B100</f>
        <v>10817.205882352942</v>
      </c>
      <c r="D7" s="579"/>
      <c r="E7" s="579">
        <f>E100</f>
        <v>0</v>
      </c>
      <c r="F7" s="580"/>
      <c r="G7" s="581"/>
      <c r="H7" s="579">
        <f>I100</f>
        <v>0</v>
      </c>
      <c r="I7" s="579">
        <f>G100+F100</f>
        <v>0</v>
      </c>
      <c r="J7" s="579">
        <f>H100+D100+C100</f>
        <v>51.35294117647058</v>
      </c>
      <c r="K7" s="579"/>
      <c r="L7" s="582"/>
      <c r="M7" s="583">
        <f>C7*$C$11+D7*$D$11+E7*$E$11+F7*$F$11+G7*$G$11+H7*$H$11+I7*$I$11+J7*$J$11</f>
        <v>2185.0755882352946</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23214.342004788843</v>
      </c>
      <c r="C9" s="594">
        <f t="shared" ref="C9:L9" si="0">SUM(C7:C8)</f>
        <v>10817.205882352942</v>
      </c>
      <c r="D9" s="594">
        <f t="shared" si="0"/>
        <v>0</v>
      </c>
      <c r="E9" s="594">
        <f t="shared" si="0"/>
        <v>0</v>
      </c>
      <c r="F9" s="594">
        <f t="shared" si="0"/>
        <v>0</v>
      </c>
      <c r="G9" s="594">
        <f t="shared" si="0"/>
        <v>0</v>
      </c>
      <c r="H9" s="594">
        <f t="shared" si="0"/>
        <v>0</v>
      </c>
      <c r="I9" s="594">
        <f t="shared" si="0"/>
        <v>0</v>
      </c>
      <c r="J9" s="594">
        <f t="shared" si="0"/>
        <v>51.35294117647058</v>
      </c>
      <c r="K9" s="594">
        <f t="shared" si="0"/>
        <v>0</v>
      </c>
      <c r="L9" s="594">
        <f t="shared" si="0"/>
        <v>0</v>
      </c>
      <c r="M9" s="595">
        <f>SUM(M4:M8)</f>
        <v>2185.0755882352946</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13197.535714285716</v>
      </c>
      <c r="C16" s="610">
        <f>B101</f>
        <v>15453.151260504203</v>
      </c>
      <c r="D16" s="611"/>
      <c r="E16" s="611">
        <f>E101</f>
        <v>0</v>
      </c>
      <c r="F16" s="612"/>
      <c r="G16" s="613"/>
      <c r="H16" s="610">
        <f>I101</f>
        <v>0</v>
      </c>
      <c r="I16" s="611">
        <f>G101+F101</f>
        <v>0</v>
      </c>
      <c r="J16" s="611">
        <f>H101+D101+C101</f>
        <v>73.361344537815114</v>
      </c>
      <c r="K16" s="611"/>
      <c r="L16" s="614"/>
      <c r="M16" s="615">
        <f>C16*$C$21+E16*$E$21+H16*$H$21+I16*$I$21+J16*$J$21+D16*$D$21+F16*$F$21+G16*$G$21+K16*$K$21+L16*$L$21</f>
        <v>3121.5365546218491</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13197.535714285716</v>
      </c>
      <c r="C19" s="593">
        <f>SUM(C16:C18)</f>
        <v>15453.151260504203</v>
      </c>
      <c r="D19" s="593">
        <f t="shared" ref="D19:M19" si="1">SUM(D16:D18)</f>
        <v>0</v>
      </c>
      <c r="E19" s="593">
        <f t="shared" si="1"/>
        <v>0</v>
      </c>
      <c r="F19" s="593">
        <f t="shared" si="1"/>
        <v>0</v>
      </c>
      <c r="G19" s="593">
        <f t="shared" si="1"/>
        <v>0</v>
      </c>
      <c r="H19" s="593">
        <f t="shared" si="1"/>
        <v>0</v>
      </c>
      <c r="I19" s="593">
        <f t="shared" si="1"/>
        <v>0</v>
      </c>
      <c r="J19" s="593">
        <f t="shared" si="1"/>
        <v>73.361344537815114</v>
      </c>
      <c r="K19" s="593">
        <f t="shared" si="1"/>
        <v>0</v>
      </c>
      <c r="L19" s="593">
        <f t="shared" si="1"/>
        <v>0</v>
      </c>
      <c r="M19" s="620">
        <f t="shared" si="1"/>
        <v>3121.5365546218491</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44034</v>
      </c>
      <c r="C27" s="851">
        <v>9080</v>
      </c>
      <c r="D27" s="672" t="s">
        <v>809</v>
      </c>
      <c r="E27" s="671" t="s">
        <v>810</v>
      </c>
      <c r="F27" s="671" t="s">
        <v>811</v>
      </c>
      <c r="G27" s="671" t="s">
        <v>812</v>
      </c>
      <c r="H27" s="671" t="s">
        <v>813</v>
      </c>
      <c r="I27" s="671" t="s">
        <v>814</v>
      </c>
      <c r="J27" s="850">
        <v>40473</v>
      </c>
      <c r="K27" s="850">
        <v>40513</v>
      </c>
      <c r="L27" s="671" t="s">
        <v>815</v>
      </c>
      <c r="M27" s="671">
        <v>1006</v>
      </c>
      <c r="N27" s="671">
        <v>4527</v>
      </c>
      <c r="O27" s="671">
        <v>6467.1428571428569</v>
      </c>
      <c r="P27" s="671">
        <v>12934.285714285716</v>
      </c>
      <c r="Q27" s="671">
        <v>0</v>
      </c>
      <c r="R27" s="671">
        <v>0</v>
      </c>
      <c r="S27" s="671">
        <v>0</v>
      </c>
      <c r="T27" s="671">
        <v>0</v>
      </c>
      <c r="U27" s="671">
        <v>0</v>
      </c>
      <c r="V27" s="671">
        <v>0</v>
      </c>
      <c r="W27" s="671">
        <v>0</v>
      </c>
      <c r="X27" s="671">
        <v>10</v>
      </c>
      <c r="Y27" s="671" t="s">
        <v>112</v>
      </c>
      <c r="Z27" s="673" t="s">
        <v>112</v>
      </c>
    </row>
    <row r="28" spans="1:26" s="625" customFormat="1" ht="63.75">
      <c r="A28" s="624"/>
      <c r="B28" s="851">
        <v>44034</v>
      </c>
      <c r="C28" s="851">
        <v>9080</v>
      </c>
      <c r="D28" s="672" t="s">
        <v>816</v>
      </c>
      <c r="E28" s="671" t="s">
        <v>817</v>
      </c>
      <c r="F28" s="671" t="s">
        <v>818</v>
      </c>
      <c r="G28" s="671" t="s">
        <v>812</v>
      </c>
      <c r="H28" s="671" t="s">
        <v>813</v>
      </c>
      <c r="I28" s="671" t="s">
        <v>817</v>
      </c>
      <c r="J28" s="850">
        <v>40598</v>
      </c>
      <c r="K28" s="850">
        <v>40664</v>
      </c>
      <c r="L28" s="671" t="s">
        <v>815</v>
      </c>
      <c r="M28" s="671">
        <v>30</v>
      </c>
      <c r="N28" s="671">
        <v>135</v>
      </c>
      <c r="O28" s="671">
        <v>192.85714285714286</v>
      </c>
      <c r="P28" s="671">
        <v>385.71428571428572</v>
      </c>
      <c r="Q28" s="671">
        <v>0</v>
      </c>
      <c r="R28" s="671">
        <v>0</v>
      </c>
      <c r="S28" s="671">
        <v>0</v>
      </c>
      <c r="T28" s="671">
        <v>0</v>
      </c>
      <c r="U28" s="671">
        <v>0</v>
      </c>
      <c r="V28" s="671">
        <v>0</v>
      </c>
      <c r="W28" s="671">
        <v>0</v>
      </c>
      <c r="X28" s="671">
        <v>1600</v>
      </c>
      <c r="Y28" s="671" t="s">
        <v>50</v>
      </c>
      <c r="Z28" s="673" t="s">
        <v>156</v>
      </c>
    </row>
    <row r="29" spans="1:26" s="625" customFormat="1" ht="25.5">
      <c r="A29" s="624"/>
      <c r="B29" s="851">
        <v>44034</v>
      </c>
      <c r="C29" s="851">
        <v>9080</v>
      </c>
      <c r="D29" s="672" t="s">
        <v>819</v>
      </c>
      <c r="E29" s="671" t="s">
        <v>820</v>
      </c>
      <c r="F29" s="671" t="s">
        <v>821</v>
      </c>
      <c r="G29" s="671" t="s">
        <v>812</v>
      </c>
      <c r="H29" s="671" t="s">
        <v>813</v>
      </c>
      <c r="I29" s="671" t="s">
        <v>820</v>
      </c>
      <c r="J29" s="850">
        <v>41244</v>
      </c>
      <c r="K29" s="850">
        <v>41255</v>
      </c>
      <c r="L29" s="671" t="s">
        <v>815</v>
      </c>
      <c r="M29" s="671">
        <v>526</v>
      </c>
      <c r="N29" s="671">
        <v>2367</v>
      </c>
      <c r="O29" s="671">
        <v>3381.4285714285716</v>
      </c>
      <c r="P29" s="671">
        <v>6762.8571428571431</v>
      </c>
      <c r="Q29" s="671">
        <v>0</v>
      </c>
      <c r="R29" s="671">
        <v>0</v>
      </c>
      <c r="S29" s="671">
        <v>0</v>
      </c>
      <c r="T29" s="671">
        <v>0</v>
      </c>
      <c r="U29" s="671">
        <v>0</v>
      </c>
      <c r="V29" s="671">
        <v>0</v>
      </c>
      <c r="W29" s="671">
        <v>0</v>
      </c>
      <c r="X29" s="671">
        <v>10</v>
      </c>
      <c r="Y29" s="671" t="s">
        <v>112</v>
      </c>
      <c r="Z29" s="673" t="s">
        <v>112</v>
      </c>
    </row>
    <row r="30" spans="1:26" s="625" customFormat="1" ht="25.5">
      <c r="A30" s="624"/>
      <c r="B30" s="851">
        <v>44034</v>
      </c>
      <c r="C30" s="851">
        <v>9080</v>
      </c>
      <c r="D30" s="672" t="s">
        <v>822</v>
      </c>
      <c r="E30" s="671" t="s">
        <v>823</v>
      </c>
      <c r="F30" s="671" t="s">
        <v>824</v>
      </c>
      <c r="G30" s="671" t="s">
        <v>812</v>
      </c>
      <c r="H30" s="671" t="s">
        <v>813</v>
      </c>
      <c r="I30" s="671" t="s">
        <v>825</v>
      </c>
      <c r="J30" s="850">
        <v>41242</v>
      </c>
      <c r="K30" s="850">
        <v>41275</v>
      </c>
      <c r="L30" s="671" t="s">
        <v>815</v>
      </c>
      <c r="M30" s="671">
        <v>9.6999999999999993</v>
      </c>
      <c r="N30" s="671">
        <v>43.649999999999991</v>
      </c>
      <c r="O30" s="671">
        <v>62.357142857142847</v>
      </c>
      <c r="P30" s="671">
        <v>0</v>
      </c>
      <c r="Q30" s="671">
        <v>124.71428571428569</v>
      </c>
      <c r="R30" s="671">
        <v>0</v>
      </c>
      <c r="S30" s="671">
        <v>0</v>
      </c>
      <c r="T30" s="671">
        <v>0</v>
      </c>
      <c r="U30" s="671">
        <v>0</v>
      </c>
      <c r="V30" s="671">
        <v>0</v>
      </c>
      <c r="W30" s="671">
        <v>0</v>
      </c>
      <c r="X30" s="671">
        <v>10</v>
      </c>
      <c r="Y30" s="671" t="s">
        <v>112</v>
      </c>
      <c r="Z30" s="673" t="s">
        <v>112</v>
      </c>
    </row>
    <row r="31" spans="1:26" s="625" customFormat="1" ht="25.5">
      <c r="A31" s="624"/>
      <c r="B31" s="851">
        <v>44034</v>
      </c>
      <c r="C31" s="851">
        <v>9080</v>
      </c>
      <c r="D31" s="672" t="s">
        <v>826</v>
      </c>
      <c r="E31" s="671"/>
      <c r="F31" s="671" t="s">
        <v>827</v>
      </c>
      <c r="G31" s="671" t="s">
        <v>812</v>
      </c>
      <c r="H31" s="671" t="s">
        <v>813</v>
      </c>
      <c r="I31" s="671" t="s">
        <v>828</v>
      </c>
      <c r="J31" s="850">
        <v>42331</v>
      </c>
      <c r="K31" s="850">
        <v>42375</v>
      </c>
      <c r="L31" s="671" t="s">
        <v>829</v>
      </c>
      <c r="M31" s="671">
        <v>525</v>
      </c>
      <c r="N31" s="671">
        <v>2165.625</v>
      </c>
      <c r="O31" s="671">
        <v>3093.75</v>
      </c>
      <c r="P31" s="671">
        <v>6187.5</v>
      </c>
      <c r="Q31" s="671">
        <v>0</v>
      </c>
      <c r="R31" s="671">
        <v>0</v>
      </c>
      <c r="S31" s="671">
        <v>0</v>
      </c>
      <c r="T31" s="671">
        <v>0</v>
      </c>
      <c r="U31" s="671">
        <v>0</v>
      </c>
      <c r="V31" s="671">
        <v>0</v>
      </c>
      <c r="W31" s="671">
        <v>0</v>
      </c>
      <c r="X31" s="671">
        <v>10</v>
      </c>
      <c r="Y31" s="671" t="s">
        <v>112</v>
      </c>
      <c r="Z31" s="673" t="s">
        <v>112</v>
      </c>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2096.6999999999998</v>
      </c>
      <c r="N57" s="629">
        <f>SUM(N27:N56)</f>
        <v>9238.2749999999996</v>
      </c>
      <c r="O57" s="629">
        <f t="shared" ref="O57:W57" si="2">SUM(O27:O56)</f>
        <v>13197.535714285716</v>
      </c>
      <c r="P57" s="629">
        <f t="shared" si="2"/>
        <v>26270.357142857145</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30</v>
      </c>
      <c r="N59" s="629">
        <f ca="1">SUMIF($Z$27:AB56,"tertiair",N27:N56)</f>
        <v>135</v>
      </c>
      <c r="O59" s="629">
        <f ca="1">SUMIF($Z$27:AC56,"tertiair",O27:O56)</f>
        <v>192.85714285714286</v>
      </c>
      <c r="P59" s="629">
        <f ca="1">SUMIF($Z$27:AD56,"tertiair",P27:P56)</f>
        <v>385.71428571428572</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2066.6999999999998</v>
      </c>
      <c r="N60" s="634">
        <f t="shared" ref="N60:W60" si="4">SUMIF($Z$27:$Z$56,"landbouw",N27:N56)</f>
        <v>9103.2749999999996</v>
      </c>
      <c r="O60" s="634">
        <f t="shared" si="4"/>
        <v>13004.678571428571</v>
      </c>
      <c r="P60" s="634">
        <f t="shared" si="4"/>
        <v>25884.642857142859</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10817.205882352942</v>
      </c>
      <c r="C100" s="663">
        <f t="shared" si="9"/>
        <v>51.35294117647058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15453.151260504203</v>
      </c>
      <c r="C101" s="666">
        <f t="shared" ref="C101:H101" si="10">$B$97*Q57</f>
        <v>73.361344537815114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30431.009192951922</v>
      </c>
      <c r="D10" s="718">
        <f ca="1">tertiair!C16</f>
        <v>192.85714285714286</v>
      </c>
      <c r="E10" s="718">
        <f ca="1">tertiair!D16</f>
        <v>31442.795186617393</v>
      </c>
      <c r="F10" s="718">
        <f>tertiair!E16</f>
        <v>524.88807194618096</v>
      </c>
      <c r="G10" s="718">
        <f ca="1">tertiair!F16</f>
        <v>5113.2502336889447</v>
      </c>
      <c r="H10" s="718">
        <f>tertiair!G16</f>
        <v>0</v>
      </c>
      <c r="I10" s="718">
        <f>tertiair!H16</f>
        <v>0</v>
      </c>
      <c r="J10" s="718">
        <f>tertiair!I16</f>
        <v>0</v>
      </c>
      <c r="K10" s="718">
        <f>tertiair!J16</f>
        <v>6.5797339927731679E-2</v>
      </c>
      <c r="L10" s="718">
        <f>tertiair!K16</f>
        <v>0</v>
      </c>
      <c r="M10" s="718">
        <f ca="1">tertiair!L16</f>
        <v>0</v>
      </c>
      <c r="N10" s="718">
        <f>tertiair!M16</f>
        <v>0</v>
      </c>
      <c r="O10" s="718">
        <f ca="1">tertiair!N16</f>
        <v>2625.8346158467757</v>
      </c>
      <c r="P10" s="718">
        <f>tertiair!O16</f>
        <v>1.5633333333333335</v>
      </c>
      <c r="Q10" s="719">
        <f>tertiair!P16</f>
        <v>19.066666666666666</v>
      </c>
      <c r="R10" s="721">
        <f ca="1">SUM(C10:Q10)</f>
        <v>70351.330241248274</v>
      </c>
      <c r="S10" s="67"/>
    </row>
    <row r="11" spans="1:19" s="474" customFormat="1">
      <c r="A11" s="870" t="s">
        <v>225</v>
      </c>
      <c r="B11" s="875"/>
      <c r="C11" s="718">
        <f>huishoudens!B8</f>
        <v>41370.131408541223</v>
      </c>
      <c r="D11" s="718">
        <f>huishoudens!C8</f>
        <v>0</v>
      </c>
      <c r="E11" s="718">
        <f>huishoudens!D8</f>
        <v>76127.336311317325</v>
      </c>
      <c r="F11" s="718">
        <f>huishoudens!E8</f>
        <v>4833.2203135230338</v>
      </c>
      <c r="G11" s="718">
        <f>huishoudens!F8</f>
        <v>15517.439012911351</v>
      </c>
      <c r="H11" s="718">
        <f>huishoudens!G8</f>
        <v>0</v>
      </c>
      <c r="I11" s="718">
        <f>huishoudens!H8</f>
        <v>0</v>
      </c>
      <c r="J11" s="718">
        <f>huishoudens!I8</f>
        <v>0</v>
      </c>
      <c r="K11" s="718">
        <f>huishoudens!J8</f>
        <v>0</v>
      </c>
      <c r="L11" s="718">
        <f>huishoudens!K8</f>
        <v>0</v>
      </c>
      <c r="M11" s="718">
        <f>huishoudens!L8</f>
        <v>0</v>
      </c>
      <c r="N11" s="718">
        <f>huishoudens!M8</f>
        <v>0</v>
      </c>
      <c r="O11" s="718">
        <f>huishoudens!N8</f>
        <v>19466.143803720501</v>
      </c>
      <c r="P11" s="718">
        <f>huishoudens!O8</f>
        <v>545.60333333333335</v>
      </c>
      <c r="Q11" s="719">
        <f>huishoudens!P8</f>
        <v>2288</v>
      </c>
      <c r="R11" s="721">
        <f>SUM(C11:Q11)</f>
        <v>160147.87418334678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7887.3292793997061</v>
      </c>
      <c r="D13" s="718">
        <f>industrie!C18</f>
        <v>0</v>
      </c>
      <c r="E13" s="718">
        <f>industrie!D18</f>
        <v>27429.214496855573</v>
      </c>
      <c r="F13" s="718">
        <f>industrie!E18</f>
        <v>995.29425055315085</v>
      </c>
      <c r="G13" s="718">
        <f>industrie!F18</f>
        <v>2996.7249147182411</v>
      </c>
      <c r="H13" s="718">
        <f>industrie!G18</f>
        <v>0</v>
      </c>
      <c r="I13" s="718">
        <f>industrie!H18</f>
        <v>0</v>
      </c>
      <c r="J13" s="718">
        <f>industrie!I18</f>
        <v>0</v>
      </c>
      <c r="K13" s="718">
        <f>industrie!J18</f>
        <v>3.4758303072950674</v>
      </c>
      <c r="L13" s="718">
        <f>industrie!K18</f>
        <v>0</v>
      </c>
      <c r="M13" s="718">
        <f>industrie!L18</f>
        <v>0</v>
      </c>
      <c r="N13" s="718">
        <f>industrie!M18</f>
        <v>0</v>
      </c>
      <c r="O13" s="718">
        <f>industrie!N18</f>
        <v>1753.511029680762</v>
      </c>
      <c r="P13" s="718">
        <f>industrie!O18</f>
        <v>0</v>
      </c>
      <c r="Q13" s="719">
        <f>industrie!P18</f>
        <v>0</v>
      </c>
      <c r="R13" s="721">
        <f>SUM(C13:Q13)</f>
        <v>41065.549801514731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79688.469880892852</v>
      </c>
      <c r="D15" s="723">
        <f t="shared" ref="D15:Q15" ca="1" si="0">SUM(D9:D14)</f>
        <v>192.85714285714286</v>
      </c>
      <c r="E15" s="723">
        <f t="shared" ca="1" si="0"/>
        <v>134999.34599479029</v>
      </c>
      <c r="F15" s="723">
        <f t="shared" si="0"/>
        <v>6353.4026360223661</v>
      </c>
      <c r="G15" s="723">
        <f t="shared" ca="1" si="0"/>
        <v>23627.414161318538</v>
      </c>
      <c r="H15" s="723">
        <f t="shared" si="0"/>
        <v>0</v>
      </c>
      <c r="I15" s="723">
        <f t="shared" si="0"/>
        <v>0</v>
      </c>
      <c r="J15" s="723">
        <f t="shared" si="0"/>
        <v>0</v>
      </c>
      <c r="K15" s="723">
        <f t="shared" si="0"/>
        <v>3.541627647222799</v>
      </c>
      <c r="L15" s="723">
        <f t="shared" si="0"/>
        <v>0</v>
      </c>
      <c r="M15" s="723">
        <f t="shared" ca="1" si="0"/>
        <v>0</v>
      </c>
      <c r="N15" s="723">
        <f t="shared" si="0"/>
        <v>0</v>
      </c>
      <c r="O15" s="723">
        <f t="shared" ca="1" si="0"/>
        <v>23845.489449248038</v>
      </c>
      <c r="P15" s="723">
        <f t="shared" si="0"/>
        <v>547.16666666666674</v>
      </c>
      <c r="Q15" s="724">
        <f t="shared" si="0"/>
        <v>2307.0666666666666</v>
      </c>
      <c r="R15" s="725">
        <f ca="1">SUM(R9:R14)</f>
        <v>271564.75422610977</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2193.1057867509508</v>
      </c>
      <c r="I18" s="718">
        <f>transport!H54</f>
        <v>0</v>
      </c>
      <c r="J18" s="718">
        <f>transport!I54</f>
        <v>0</v>
      </c>
      <c r="K18" s="718">
        <f>transport!J54</f>
        <v>0</v>
      </c>
      <c r="L18" s="718">
        <f>transport!K54</f>
        <v>0</v>
      </c>
      <c r="M18" s="718">
        <f>transport!L54</f>
        <v>0</v>
      </c>
      <c r="N18" s="718">
        <f>transport!M54</f>
        <v>124.55872705443895</v>
      </c>
      <c r="O18" s="718">
        <f>transport!N54</f>
        <v>0</v>
      </c>
      <c r="P18" s="718">
        <f>transport!O54</f>
        <v>0</v>
      </c>
      <c r="Q18" s="719">
        <f>transport!P54</f>
        <v>0</v>
      </c>
      <c r="R18" s="721">
        <f>SUM(C18:Q18)</f>
        <v>2317.6645138053896</v>
      </c>
      <c r="S18" s="67"/>
    </row>
    <row r="19" spans="1:19" s="474" customFormat="1" ht="15" thickBot="1">
      <c r="A19" s="870" t="s">
        <v>307</v>
      </c>
      <c r="B19" s="875"/>
      <c r="C19" s="727">
        <f>transport!B14</f>
        <v>98.016355690358751</v>
      </c>
      <c r="D19" s="727">
        <f>transport!C14</f>
        <v>0</v>
      </c>
      <c r="E19" s="727">
        <f>transport!D14</f>
        <v>330.52037405540511</v>
      </c>
      <c r="F19" s="727">
        <f>transport!E14</f>
        <v>507.89710010553767</v>
      </c>
      <c r="G19" s="727">
        <f>transport!F14</f>
        <v>0</v>
      </c>
      <c r="H19" s="727">
        <f>transport!G14</f>
        <v>237888.91021253695</v>
      </c>
      <c r="I19" s="727">
        <f>transport!H14</f>
        <v>38306.056395251428</v>
      </c>
      <c r="J19" s="727">
        <f>transport!I14</f>
        <v>0</v>
      </c>
      <c r="K19" s="727">
        <f>transport!J14</f>
        <v>0</v>
      </c>
      <c r="L19" s="727">
        <f>transport!K14</f>
        <v>0</v>
      </c>
      <c r="M19" s="727">
        <f>transport!L14</f>
        <v>0</v>
      </c>
      <c r="N19" s="727">
        <f>transport!M14</f>
        <v>15035.835334544241</v>
      </c>
      <c r="O19" s="727">
        <f>transport!N14</f>
        <v>0</v>
      </c>
      <c r="P19" s="727">
        <f>transport!O14</f>
        <v>0</v>
      </c>
      <c r="Q19" s="728">
        <f>transport!P14</f>
        <v>0</v>
      </c>
      <c r="R19" s="729">
        <f>SUM(C19:Q19)</f>
        <v>292167.23577218392</v>
      </c>
      <c r="S19" s="67"/>
    </row>
    <row r="20" spans="1:19" s="474" customFormat="1" ht="15.75" thickBot="1">
      <c r="A20" s="730" t="s">
        <v>230</v>
      </c>
      <c r="B20" s="878"/>
      <c r="C20" s="873">
        <f>SUM(C17:C19)</f>
        <v>98.016355690358751</v>
      </c>
      <c r="D20" s="731">
        <f t="shared" ref="D20:R20" si="1">SUM(D17:D19)</f>
        <v>0</v>
      </c>
      <c r="E20" s="731">
        <f t="shared" si="1"/>
        <v>330.52037405540511</v>
      </c>
      <c r="F20" s="731">
        <f t="shared" si="1"/>
        <v>507.89710010553767</v>
      </c>
      <c r="G20" s="731">
        <f t="shared" si="1"/>
        <v>0</v>
      </c>
      <c r="H20" s="731">
        <f t="shared" si="1"/>
        <v>240082.01599928789</v>
      </c>
      <c r="I20" s="731">
        <f t="shared" si="1"/>
        <v>38306.056395251428</v>
      </c>
      <c r="J20" s="731">
        <f t="shared" si="1"/>
        <v>0</v>
      </c>
      <c r="K20" s="731">
        <f t="shared" si="1"/>
        <v>0</v>
      </c>
      <c r="L20" s="731">
        <f t="shared" si="1"/>
        <v>0</v>
      </c>
      <c r="M20" s="731">
        <f t="shared" si="1"/>
        <v>0</v>
      </c>
      <c r="N20" s="731">
        <f t="shared" si="1"/>
        <v>15160.394061598679</v>
      </c>
      <c r="O20" s="731">
        <f t="shared" si="1"/>
        <v>0</v>
      </c>
      <c r="P20" s="731">
        <f t="shared" si="1"/>
        <v>0</v>
      </c>
      <c r="Q20" s="732">
        <f t="shared" si="1"/>
        <v>0</v>
      </c>
      <c r="R20" s="733">
        <f t="shared" si="1"/>
        <v>294484.90028598934</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12099.066501448131</v>
      </c>
      <c r="D22" s="727">
        <f>+landbouw!C8</f>
        <v>13004.678571428571</v>
      </c>
      <c r="E22" s="727">
        <f>+landbouw!D8</f>
        <v>36566.735516704997</v>
      </c>
      <c r="F22" s="727">
        <f>+landbouw!E8</f>
        <v>355.628519292036</v>
      </c>
      <c r="G22" s="727">
        <f>+landbouw!F8</f>
        <v>50404.057245795571</v>
      </c>
      <c r="H22" s="727">
        <f>+landbouw!G8</f>
        <v>0</v>
      </c>
      <c r="I22" s="727">
        <f>+landbouw!H8</f>
        <v>0</v>
      </c>
      <c r="J22" s="727">
        <f>+landbouw!I8</f>
        <v>0</v>
      </c>
      <c r="K22" s="727">
        <f>+landbouw!J8</f>
        <v>1752.8949056324657</v>
      </c>
      <c r="L22" s="727">
        <f>+landbouw!K8</f>
        <v>0</v>
      </c>
      <c r="M22" s="727">
        <f>+landbouw!L8</f>
        <v>0</v>
      </c>
      <c r="N22" s="727">
        <f>+landbouw!M8</f>
        <v>0</v>
      </c>
      <c r="O22" s="727">
        <f>+landbouw!N8</f>
        <v>0</v>
      </c>
      <c r="P22" s="727">
        <f>+landbouw!O8</f>
        <v>0</v>
      </c>
      <c r="Q22" s="728">
        <f>+landbouw!P8</f>
        <v>0</v>
      </c>
      <c r="R22" s="729">
        <f>SUM(C22:Q22)</f>
        <v>114183.06126030177</v>
      </c>
      <c r="S22" s="67"/>
    </row>
    <row r="23" spans="1:19" s="474" customFormat="1" ht="17.25" thickTop="1" thickBot="1">
      <c r="A23" s="734" t="s">
        <v>116</v>
      </c>
      <c r="B23" s="864"/>
      <c r="C23" s="735">
        <f ca="1">C20+C15+C22</f>
        <v>91885.552738031343</v>
      </c>
      <c r="D23" s="735">
        <f t="shared" ref="D23:Q23" ca="1" si="2">D20+D15+D22</f>
        <v>13197.535714285714</v>
      </c>
      <c r="E23" s="735">
        <f t="shared" ca="1" si="2"/>
        <v>171896.60188555068</v>
      </c>
      <c r="F23" s="735">
        <f t="shared" si="2"/>
        <v>7216.9282554199399</v>
      </c>
      <c r="G23" s="735">
        <f t="shared" ca="1" si="2"/>
        <v>74031.471407114106</v>
      </c>
      <c r="H23" s="735">
        <f t="shared" si="2"/>
        <v>240082.01599928789</v>
      </c>
      <c r="I23" s="735">
        <f t="shared" si="2"/>
        <v>38306.056395251428</v>
      </c>
      <c r="J23" s="735">
        <f t="shared" si="2"/>
        <v>0</v>
      </c>
      <c r="K23" s="735">
        <f t="shared" si="2"/>
        <v>1756.4365332796885</v>
      </c>
      <c r="L23" s="735">
        <f t="shared" si="2"/>
        <v>0</v>
      </c>
      <c r="M23" s="735">
        <f t="shared" ca="1" si="2"/>
        <v>0</v>
      </c>
      <c r="N23" s="735">
        <f t="shared" si="2"/>
        <v>15160.394061598679</v>
      </c>
      <c r="O23" s="735">
        <f t="shared" ca="1" si="2"/>
        <v>23845.489449248038</v>
      </c>
      <c r="P23" s="735">
        <f t="shared" si="2"/>
        <v>547.16666666666674</v>
      </c>
      <c r="Q23" s="736">
        <f t="shared" si="2"/>
        <v>2307.0666666666666</v>
      </c>
      <c r="R23" s="737">
        <f ca="1">R20+R15+R22</f>
        <v>680232.71577240084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5749.8192886693196</v>
      </c>
      <c r="D36" s="718">
        <f ca="1">tertiair!C20</f>
        <v>45.615381104583875</v>
      </c>
      <c r="E36" s="718">
        <f ca="1">tertiair!D20</f>
        <v>6351.4446276967137</v>
      </c>
      <c r="F36" s="718">
        <f>tertiair!E20</f>
        <v>119.14959233178308</v>
      </c>
      <c r="G36" s="718">
        <f ca="1">tertiair!F20</f>
        <v>1365.2378123949484</v>
      </c>
      <c r="H36" s="718">
        <f>tertiair!G20</f>
        <v>0</v>
      </c>
      <c r="I36" s="718">
        <f>tertiair!H20</f>
        <v>0</v>
      </c>
      <c r="J36" s="718">
        <f>tertiair!I20</f>
        <v>0</v>
      </c>
      <c r="K36" s="718">
        <f>tertiair!J20</f>
        <v>2.3292258334417015E-2</v>
      </c>
      <c r="L36" s="718">
        <f>tertiair!K20</f>
        <v>0</v>
      </c>
      <c r="M36" s="718">
        <f ca="1">tertiair!L20</f>
        <v>0</v>
      </c>
      <c r="N36" s="718">
        <f>tertiair!M20</f>
        <v>0</v>
      </c>
      <c r="O36" s="718">
        <f ca="1">tertiair!N20</f>
        <v>0</v>
      </c>
      <c r="P36" s="718">
        <f>tertiair!O20</f>
        <v>0</v>
      </c>
      <c r="Q36" s="828">
        <f>tertiair!P20</f>
        <v>0</v>
      </c>
      <c r="R36" s="917">
        <f ca="1">SUM(C36:Q36)</f>
        <v>13631.289994455685</v>
      </c>
    </row>
    <row r="37" spans="1:18">
      <c r="A37" s="885" t="s">
        <v>225</v>
      </c>
      <c r="B37" s="892"/>
      <c r="C37" s="718">
        <f ca="1">huishoudens!B12</f>
        <v>7816.7233311048931</v>
      </c>
      <c r="D37" s="718">
        <f ca="1">huishoudens!C12</f>
        <v>0</v>
      </c>
      <c r="E37" s="718">
        <f>huishoudens!D12</f>
        <v>15377.7219348861</v>
      </c>
      <c r="F37" s="718">
        <f>huishoudens!E12</f>
        <v>1097.1410111697287</v>
      </c>
      <c r="G37" s="718">
        <f>huishoudens!F12</f>
        <v>4143.1562164473307</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28434.742493608057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1490.2797912230371</v>
      </c>
      <c r="D39" s="718">
        <f ca="1">industrie!C22</f>
        <v>0</v>
      </c>
      <c r="E39" s="718">
        <f>industrie!D22</f>
        <v>5540.7013283648257</v>
      </c>
      <c r="F39" s="718">
        <f>industrie!E22</f>
        <v>225.93179487556526</v>
      </c>
      <c r="G39" s="718">
        <f>industrie!F22</f>
        <v>800.12555222977039</v>
      </c>
      <c r="H39" s="718">
        <f>industrie!G22</f>
        <v>0</v>
      </c>
      <c r="I39" s="718">
        <f>industrie!H22</f>
        <v>0</v>
      </c>
      <c r="J39" s="718">
        <f>industrie!I22</f>
        <v>0</v>
      </c>
      <c r="K39" s="718">
        <f>industrie!J22</f>
        <v>1.2304439287824538</v>
      </c>
      <c r="L39" s="718">
        <f>industrie!K22</f>
        <v>0</v>
      </c>
      <c r="M39" s="718">
        <f>industrie!L22</f>
        <v>0</v>
      </c>
      <c r="N39" s="718">
        <f>industrie!M22</f>
        <v>0</v>
      </c>
      <c r="O39" s="718">
        <f>industrie!N22</f>
        <v>0</v>
      </c>
      <c r="P39" s="718">
        <f>industrie!O22</f>
        <v>0</v>
      </c>
      <c r="Q39" s="828">
        <f>industrie!P22</f>
        <v>0</v>
      </c>
      <c r="R39" s="918">
        <f ca="1">SUM(C39:Q39)</f>
        <v>8058.2689106219814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15056.822410997251</v>
      </c>
      <c r="D41" s="763">
        <f t="shared" ref="D41:R41" ca="1" si="4">SUM(D35:D40)</f>
        <v>45.615381104583875</v>
      </c>
      <c r="E41" s="763">
        <f t="shared" ca="1" si="4"/>
        <v>27269.86789094764</v>
      </c>
      <c r="F41" s="763">
        <f t="shared" si="4"/>
        <v>1442.2223983770768</v>
      </c>
      <c r="G41" s="763">
        <f t="shared" ca="1" si="4"/>
        <v>6308.5195810720497</v>
      </c>
      <c r="H41" s="763">
        <f t="shared" si="4"/>
        <v>0</v>
      </c>
      <c r="I41" s="763">
        <f t="shared" si="4"/>
        <v>0</v>
      </c>
      <c r="J41" s="763">
        <f t="shared" si="4"/>
        <v>0</v>
      </c>
      <c r="K41" s="763">
        <f t="shared" si="4"/>
        <v>1.2537361871168708</v>
      </c>
      <c r="L41" s="763">
        <f t="shared" si="4"/>
        <v>0</v>
      </c>
      <c r="M41" s="763">
        <f t="shared" ca="1" si="4"/>
        <v>0</v>
      </c>
      <c r="N41" s="763">
        <f t="shared" si="4"/>
        <v>0</v>
      </c>
      <c r="O41" s="763">
        <f t="shared" ca="1" si="4"/>
        <v>0</v>
      </c>
      <c r="P41" s="763">
        <f t="shared" si="4"/>
        <v>0</v>
      </c>
      <c r="Q41" s="764">
        <f t="shared" si="4"/>
        <v>0</v>
      </c>
      <c r="R41" s="765">
        <f t="shared" ca="1" si="4"/>
        <v>50124.301398685726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585.55924506250392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585.55924506250392</v>
      </c>
    </row>
    <row r="45" spans="1:18" ht="15" thickBot="1">
      <c r="A45" s="888" t="s">
        <v>307</v>
      </c>
      <c r="B45" s="898"/>
      <c r="C45" s="727">
        <f ca="1">transport!B18</f>
        <v>18.519804222727736</v>
      </c>
      <c r="D45" s="727">
        <f>transport!C18</f>
        <v>0</v>
      </c>
      <c r="E45" s="727">
        <f>transport!D18</f>
        <v>66.765115559191841</v>
      </c>
      <c r="F45" s="727">
        <f>transport!E18</f>
        <v>115.29264172395706</v>
      </c>
      <c r="G45" s="727">
        <f>transport!F18</f>
        <v>0</v>
      </c>
      <c r="H45" s="727">
        <f>transport!G18</f>
        <v>63516.339026747373</v>
      </c>
      <c r="I45" s="727">
        <f>transport!H18</f>
        <v>9538.2080424176056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73255.124630670849</v>
      </c>
    </row>
    <row r="46" spans="1:18" ht="15.75" thickBot="1">
      <c r="A46" s="886" t="s">
        <v>230</v>
      </c>
      <c r="B46" s="899"/>
      <c r="C46" s="763">
        <f t="shared" ref="C46:R46" ca="1" si="5">SUM(C43:C45)</f>
        <v>18.519804222727736</v>
      </c>
      <c r="D46" s="763">
        <f t="shared" ca="1" si="5"/>
        <v>0</v>
      </c>
      <c r="E46" s="763">
        <f t="shared" si="5"/>
        <v>66.765115559191841</v>
      </c>
      <c r="F46" s="763">
        <f t="shared" si="5"/>
        <v>115.29264172395706</v>
      </c>
      <c r="G46" s="763">
        <f t="shared" si="5"/>
        <v>0</v>
      </c>
      <c r="H46" s="763">
        <f t="shared" si="5"/>
        <v>64101.898271809878</v>
      </c>
      <c r="I46" s="763">
        <f t="shared" si="5"/>
        <v>9538.2080424176056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73840.683875733346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2286.0709450619106</v>
      </c>
      <c r="D48" s="718">
        <f ca="1">+landbouw!C12</f>
        <v>3075.9211735172648</v>
      </c>
      <c r="E48" s="718">
        <f>+landbouw!D12</f>
        <v>7386.48057437441</v>
      </c>
      <c r="F48" s="718">
        <f>+landbouw!E12</f>
        <v>80.727673879292169</v>
      </c>
      <c r="G48" s="718">
        <f>+landbouw!F12</f>
        <v>13457.883284627418</v>
      </c>
      <c r="H48" s="718">
        <f>+landbouw!G12</f>
        <v>0</v>
      </c>
      <c r="I48" s="718">
        <f>+landbouw!H12</f>
        <v>0</v>
      </c>
      <c r="J48" s="718">
        <f>+landbouw!I12</f>
        <v>0</v>
      </c>
      <c r="K48" s="718">
        <f>+landbouw!J12</f>
        <v>620.5247965938928</v>
      </c>
      <c r="L48" s="718">
        <f>+landbouw!K12</f>
        <v>0</v>
      </c>
      <c r="M48" s="718">
        <f>+landbouw!L12</f>
        <v>0</v>
      </c>
      <c r="N48" s="718">
        <f>+landbouw!M12</f>
        <v>0</v>
      </c>
      <c r="O48" s="718">
        <f>+landbouw!N12</f>
        <v>0</v>
      </c>
      <c r="P48" s="718">
        <f>+landbouw!O12</f>
        <v>0</v>
      </c>
      <c r="Q48" s="719">
        <f>+landbouw!P12</f>
        <v>0</v>
      </c>
      <c r="R48" s="761">
        <f ca="1">SUM(C48:Q48)</f>
        <v>26907.60844805419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17361.413160281889</v>
      </c>
      <c r="D53" s="773">
        <f t="shared" ref="D53:Q53" ca="1" si="6">D41+D46+D48</f>
        <v>3121.5365546218486</v>
      </c>
      <c r="E53" s="773">
        <f t="shared" ca="1" si="6"/>
        <v>34723.11358088124</v>
      </c>
      <c r="F53" s="773">
        <f t="shared" si="6"/>
        <v>1638.242713980326</v>
      </c>
      <c r="G53" s="773">
        <f t="shared" ca="1" si="6"/>
        <v>19766.402865699467</v>
      </c>
      <c r="H53" s="773">
        <f t="shared" si="6"/>
        <v>64101.898271809878</v>
      </c>
      <c r="I53" s="773">
        <f t="shared" si="6"/>
        <v>9538.2080424176056</v>
      </c>
      <c r="J53" s="773">
        <f t="shared" si="6"/>
        <v>0</v>
      </c>
      <c r="K53" s="773">
        <f t="shared" si="6"/>
        <v>621.77853278100963</v>
      </c>
      <c r="L53" s="773">
        <f t="shared" si="6"/>
        <v>0</v>
      </c>
      <c r="M53" s="773">
        <f t="shared" ca="1" si="6"/>
        <v>0</v>
      </c>
      <c r="N53" s="773">
        <f t="shared" si="6"/>
        <v>0</v>
      </c>
      <c r="O53" s="773">
        <f t="shared" ca="1" si="6"/>
        <v>0</v>
      </c>
      <c r="P53" s="773">
        <f>P41+P46+P48</f>
        <v>0</v>
      </c>
      <c r="Q53" s="774">
        <f t="shared" si="6"/>
        <v>0</v>
      </c>
      <c r="R53" s="775">
        <f ca="1">R41+R46+R48</f>
        <v>150872.59372247325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0.18894605999465264</v>
      </c>
      <c r="D55" s="836">
        <f t="shared" ca="1" si="7"/>
        <v>0.23652419832006452</v>
      </c>
      <c r="E55" s="836">
        <f t="shared" ca="1" si="7"/>
        <v>0.20200000000000001</v>
      </c>
      <c r="F55" s="836">
        <f t="shared" si="7"/>
        <v>0.22699999999999995</v>
      </c>
      <c r="G55" s="836">
        <f t="shared" ca="1" si="7"/>
        <v>0.26700000000000002</v>
      </c>
      <c r="H55" s="836">
        <f t="shared" si="7"/>
        <v>0.26700000000000007</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7061.6495409287909</v>
      </c>
      <c r="C64" s="795">
        <f>'lokale energieproductie'!B4</f>
        <v>7061.6495409287909</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6914.4174638600507</v>
      </c>
      <c r="C66" s="795">
        <f>'lokale energieproductie'!B6</f>
        <v>6914.4174638600507</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9238.2749999999996</v>
      </c>
      <c r="C67" s="794">
        <f>B67*IFERROR(SUM(J67:L67)/SUM(D67:M67),0)</f>
        <v>43.649999999999984</v>
      </c>
      <c r="D67" s="826">
        <f>'lokale energieproductie'!C7</f>
        <v>10817.205882352942</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2185.0755882352946</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23214.342004788843</v>
      </c>
      <c r="C69" s="803">
        <f>SUM(C64:C68)</f>
        <v>14019.717004788841</v>
      </c>
      <c r="D69" s="804">
        <f t="shared" ref="D69:M69" si="8">SUM(D67:D68)</f>
        <v>10817.205882352942</v>
      </c>
      <c r="E69" s="804">
        <f t="shared" si="8"/>
        <v>0</v>
      </c>
      <c r="F69" s="804">
        <f t="shared" si="8"/>
        <v>0</v>
      </c>
      <c r="G69" s="804">
        <f t="shared" si="8"/>
        <v>0</v>
      </c>
      <c r="H69" s="804">
        <f t="shared" si="8"/>
        <v>0</v>
      </c>
      <c r="I69" s="804">
        <f t="shared" si="8"/>
        <v>0</v>
      </c>
      <c r="J69" s="804">
        <f t="shared" si="8"/>
        <v>0</v>
      </c>
      <c r="K69" s="804">
        <f t="shared" si="8"/>
        <v>51.35294117647058</v>
      </c>
      <c r="L69" s="804">
        <f t="shared" si="8"/>
        <v>0</v>
      </c>
      <c r="M69" s="930">
        <f t="shared" si="8"/>
        <v>0</v>
      </c>
      <c r="N69" s="805">
        <v>0</v>
      </c>
      <c r="O69" s="805">
        <f>SUM(O67:O68)</f>
        <v>2185.0755882352946</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13197.535714285716</v>
      </c>
      <c r="C78" s="817">
        <f>B78*IFERROR(SUM(I78:L78)/SUM(D78:M78),0)</f>
        <v>62.357142857142847</v>
      </c>
      <c r="D78" s="832">
        <f>'lokale energieproductie'!C16</f>
        <v>15453.151260504203</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73.361344537815114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3121.5365546218491</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13197.535714285716</v>
      </c>
      <c r="C81" s="803">
        <f>SUM(C78:C80)</f>
        <v>62.357142857142847</v>
      </c>
      <c r="D81" s="803">
        <f t="shared" ref="D81:P81" si="9">SUM(D78:D80)</f>
        <v>15453.151260504203</v>
      </c>
      <c r="E81" s="803">
        <f t="shared" si="9"/>
        <v>0</v>
      </c>
      <c r="F81" s="803">
        <f t="shared" si="9"/>
        <v>0</v>
      </c>
      <c r="G81" s="803">
        <f t="shared" si="9"/>
        <v>0</v>
      </c>
      <c r="H81" s="803">
        <f t="shared" si="9"/>
        <v>0</v>
      </c>
      <c r="I81" s="803">
        <f t="shared" si="9"/>
        <v>0</v>
      </c>
      <c r="J81" s="803">
        <f t="shared" si="9"/>
        <v>0</v>
      </c>
      <c r="K81" s="803">
        <f t="shared" si="9"/>
        <v>73.361344537815114</v>
      </c>
      <c r="L81" s="803">
        <f t="shared" si="9"/>
        <v>0</v>
      </c>
      <c r="M81" s="803">
        <f t="shared" si="9"/>
        <v>0</v>
      </c>
      <c r="N81" s="803">
        <v>0</v>
      </c>
      <c r="O81" s="803">
        <f>SUM(O78:O80)</f>
        <v>3121.5365546218491</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41370.131408541223</v>
      </c>
      <c r="C4" s="478">
        <f>huishoudens!C8</f>
        <v>0</v>
      </c>
      <c r="D4" s="478">
        <f>huishoudens!D8</f>
        <v>76127.336311317325</v>
      </c>
      <c r="E4" s="478">
        <f>huishoudens!E8</f>
        <v>4833.2203135230338</v>
      </c>
      <c r="F4" s="478">
        <f>huishoudens!F8</f>
        <v>15517.439012911351</v>
      </c>
      <c r="G4" s="478">
        <f>huishoudens!G8</f>
        <v>0</v>
      </c>
      <c r="H4" s="478">
        <f>huishoudens!H8</f>
        <v>0</v>
      </c>
      <c r="I4" s="478">
        <f>huishoudens!I8</f>
        <v>0</v>
      </c>
      <c r="J4" s="478">
        <f>huishoudens!J8</f>
        <v>0</v>
      </c>
      <c r="K4" s="478">
        <f>huishoudens!K8</f>
        <v>0</v>
      </c>
      <c r="L4" s="478">
        <f>huishoudens!L8</f>
        <v>0</v>
      </c>
      <c r="M4" s="478">
        <f>huishoudens!M8</f>
        <v>0</v>
      </c>
      <c r="N4" s="478">
        <f>huishoudens!N8</f>
        <v>19466.143803720501</v>
      </c>
      <c r="O4" s="478">
        <f>huishoudens!O8</f>
        <v>545.60333333333335</v>
      </c>
      <c r="P4" s="479">
        <f>huishoudens!P8</f>
        <v>2288</v>
      </c>
      <c r="Q4" s="480">
        <f>SUM(B4:P4)</f>
        <v>160147.87418334678</v>
      </c>
    </row>
    <row r="5" spans="1:17">
      <c r="A5" s="477" t="s">
        <v>156</v>
      </c>
      <c r="B5" s="478">
        <f ca="1">tertiair!B16</f>
        <v>28724.309192951921</v>
      </c>
      <c r="C5" s="478">
        <f ca="1">tertiair!C16</f>
        <v>192.85714285714286</v>
      </c>
      <c r="D5" s="478">
        <f ca="1">tertiair!D16</f>
        <v>31442.795186617393</v>
      </c>
      <c r="E5" s="478">
        <f>tertiair!E16</f>
        <v>524.88807194618096</v>
      </c>
      <c r="F5" s="478">
        <f ca="1">tertiair!F16</f>
        <v>5113.2502336889447</v>
      </c>
      <c r="G5" s="478">
        <f>tertiair!G16</f>
        <v>0</v>
      </c>
      <c r="H5" s="478">
        <f>tertiair!H16</f>
        <v>0</v>
      </c>
      <c r="I5" s="478">
        <f>tertiair!I16</f>
        <v>0</v>
      </c>
      <c r="J5" s="478">
        <f>tertiair!J16</f>
        <v>6.5797339927731679E-2</v>
      </c>
      <c r="K5" s="478">
        <f>tertiair!K16</f>
        <v>0</v>
      </c>
      <c r="L5" s="478">
        <f ca="1">tertiair!L16</f>
        <v>0</v>
      </c>
      <c r="M5" s="478">
        <f>tertiair!M16</f>
        <v>0</v>
      </c>
      <c r="N5" s="478">
        <f ca="1">tertiair!N16</f>
        <v>2625.8346158467757</v>
      </c>
      <c r="O5" s="478">
        <f>tertiair!O16</f>
        <v>1.5633333333333335</v>
      </c>
      <c r="P5" s="479">
        <f>tertiair!P16</f>
        <v>19.066666666666666</v>
      </c>
      <c r="Q5" s="477">
        <f t="shared" ref="Q5:Q13" ca="1" si="0">SUM(B5:P5)</f>
        <v>68644.630241248291</v>
      </c>
    </row>
    <row r="6" spans="1:17">
      <c r="A6" s="477" t="s">
        <v>194</v>
      </c>
      <c r="B6" s="478">
        <f>'openbare verlichting'!B8</f>
        <v>1706.7</v>
      </c>
      <c r="C6" s="478"/>
      <c r="D6" s="478"/>
      <c r="E6" s="478"/>
      <c r="F6" s="478"/>
      <c r="G6" s="478"/>
      <c r="H6" s="478"/>
      <c r="I6" s="478"/>
      <c r="J6" s="478"/>
      <c r="K6" s="478"/>
      <c r="L6" s="478"/>
      <c r="M6" s="478"/>
      <c r="N6" s="478"/>
      <c r="O6" s="478"/>
      <c r="P6" s="479"/>
      <c r="Q6" s="477">
        <f t="shared" si="0"/>
        <v>1706.7</v>
      </c>
    </row>
    <row r="7" spans="1:17">
      <c r="A7" s="477" t="s">
        <v>112</v>
      </c>
      <c r="B7" s="478">
        <f>landbouw!B8</f>
        <v>12099.066501448131</v>
      </c>
      <c r="C7" s="478">
        <f>landbouw!C8</f>
        <v>13004.678571428571</v>
      </c>
      <c r="D7" s="478">
        <f>landbouw!D8</f>
        <v>36566.735516704997</v>
      </c>
      <c r="E7" s="478">
        <f>landbouw!E8</f>
        <v>355.628519292036</v>
      </c>
      <c r="F7" s="478">
        <f>landbouw!F8</f>
        <v>50404.057245795571</v>
      </c>
      <c r="G7" s="478">
        <f>landbouw!G8</f>
        <v>0</v>
      </c>
      <c r="H7" s="478">
        <f>landbouw!H8</f>
        <v>0</v>
      </c>
      <c r="I7" s="478">
        <f>landbouw!I8</f>
        <v>0</v>
      </c>
      <c r="J7" s="478">
        <f>landbouw!J8</f>
        <v>1752.8949056324657</v>
      </c>
      <c r="K7" s="478">
        <f>landbouw!K8</f>
        <v>0</v>
      </c>
      <c r="L7" s="478">
        <f>landbouw!L8</f>
        <v>0</v>
      </c>
      <c r="M7" s="478">
        <f>landbouw!M8</f>
        <v>0</v>
      </c>
      <c r="N7" s="478">
        <f>landbouw!N8</f>
        <v>0</v>
      </c>
      <c r="O7" s="478">
        <f>landbouw!O8</f>
        <v>0</v>
      </c>
      <c r="P7" s="479">
        <f>landbouw!P8</f>
        <v>0</v>
      </c>
      <c r="Q7" s="477">
        <f t="shared" si="0"/>
        <v>114183.06126030177</v>
      </c>
    </row>
    <row r="8" spans="1:17">
      <c r="A8" s="477" t="s">
        <v>635</v>
      </c>
      <c r="B8" s="478">
        <f>industrie!B18</f>
        <v>7887.3292793997061</v>
      </c>
      <c r="C8" s="478">
        <f>industrie!C18</f>
        <v>0</v>
      </c>
      <c r="D8" s="478">
        <f>industrie!D18</f>
        <v>27429.214496855573</v>
      </c>
      <c r="E8" s="478">
        <f>industrie!E18</f>
        <v>995.29425055315085</v>
      </c>
      <c r="F8" s="478">
        <f>industrie!F18</f>
        <v>2996.7249147182411</v>
      </c>
      <c r="G8" s="478">
        <f>industrie!G18</f>
        <v>0</v>
      </c>
      <c r="H8" s="478">
        <f>industrie!H18</f>
        <v>0</v>
      </c>
      <c r="I8" s="478">
        <f>industrie!I18</f>
        <v>0</v>
      </c>
      <c r="J8" s="478">
        <f>industrie!J18</f>
        <v>3.4758303072950674</v>
      </c>
      <c r="K8" s="478">
        <f>industrie!K18</f>
        <v>0</v>
      </c>
      <c r="L8" s="478">
        <f>industrie!L18</f>
        <v>0</v>
      </c>
      <c r="M8" s="478">
        <f>industrie!M18</f>
        <v>0</v>
      </c>
      <c r="N8" s="478">
        <f>industrie!N18</f>
        <v>1753.511029680762</v>
      </c>
      <c r="O8" s="478">
        <f>industrie!O18</f>
        <v>0</v>
      </c>
      <c r="P8" s="479">
        <f>industrie!P18</f>
        <v>0</v>
      </c>
      <c r="Q8" s="477">
        <f t="shared" si="0"/>
        <v>41065.549801514731</v>
      </c>
    </row>
    <row r="9" spans="1:17" s="483" customFormat="1">
      <c r="A9" s="481" t="s">
        <v>561</v>
      </c>
      <c r="B9" s="482">
        <f>transport!B14</f>
        <v>98.016355690358751</v>
      </c>
      <c r="C9" s="482">
        <f>transport!C14</f>
        <v>0</v>
      </c>
      <c r="D9" s="482">
        <f>transport!D14</f>
        <v>330.52037405540511</v>
      </c>
      <c r="E9" s="482">
        <f>transport!E14</f>
        <v>507.89710010553767</v>
      </c>
      <c r="F9" s="482">
        <f>transport!F14</f>
        <v>0</v>
      </c>
      <c r="G9" s="482">
        <f>transport!G14</f>
        <v>237888.91021253695</v>
      </c>
      <c r="H9" s="482">
        <f>transport!H14</f>
        <v>38306.056395251428</v>
      </c>
      <c r="I9" s="482">
        <f>transport!I14</f>
        <v>0</v>
      </c>
      <c r="J9" s="482">
        <f>transport!J14</f>
        <v>0</v>
      </c>
      <c r="K9" s="482">
        <f>transport!K14</f>
        <v>0</v>
      </c>
      <c r="L9" s="482">
        <f>transport!L14</f>
        <v>0</v>
      </c>
      <c r="M9" s="482">
        <f>transport!M14</f>
        <v>15035.835334544241</v>
      </c>
      <c r="N9" s="482">
        <f>transport!N14</f>
        <v>0</v>
      </c>
      <c r="O9" s="482">
        <f>transport!O14</f>
        <v>0</v>
      </c>
      <c r="P9" s="482">
        <f>transport!P14</f>
        <v>0</v>
      </c>
      <c r="Q9" s="481">
        <f>SUM(B9:P9)</f>
        <v>292167.23577218392</v>
      </c>
    </row>
    <row r="10" spans="1:17">
      <c r="A10" s="477" t="s">
        <v>551</v>
      </c>
      <c r="B10" s="478">
        <f>transport!B54</f>
        <v>0</v>
      </c>
      <c r="C10" s="478">
        <f>transport!C54</f>
        <v>0</v>
      </c>
      <c r="D10" s="478">
        <f>transport!D54</f>
        <v>0</v>
      </c>
      <c r="E10" s="478">
        <f>transport!E54</f>
        <v>0</v>
      </c>
      <c r="F10" s="478">
        <f>transport!F54</f>
        <v>0</v>
      </c>
      <c r="G10" s="478">
        <f>transport!G54</f>
        <v>2193.1057867509508</v>
      </c>
      <c r="H10" s="478">
        <f>transport!H54</f>
        <v>0</v>
      </c>
      <c r="I10" s="478">
        <f>transport!I54</f>
        <v>0</v>
      </c>
      <c r="J10" s="478">
        <f>transport!J54</f>
        <v>0</v>
      </c>
      <c r="K10" s="478">
        <f>transport!K54</f>
        <v>0</v>
      </c>
      <c r="L10" s="478">
        <f>transport!L54</f>
        <v>0</v>
      </c>
      <c r="M10" s="478">
        <f>transport!M54</f>
        <v>124.55872705443895</v>
      </c>
      <c r="N10" s="478">
        <f>transport!N54</f>
        <v>0</v>
      </c>
      <c r="O10" s="478">
        <f>transport!O54</f>
        <v>0</v>
      </c>
      <c r="P10" s="479">
        <f>transport!P54</f>
        <v>0</v>
      </c>
      <c r="Q10" s="477">
        <f t="shared" si="0"/>
        <v>2317.6645138053896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91885.552738031343</v>
      </c>
      <c r="C14" s="488">
        <f t="shared" ref="C14:Q14" ca="1" si="1">SUM(C4:C13)</f>
        <v>13197.535714285714</v>
      </c>
      <c r="D14" s="488">
        <f t="shared" ca="1" si="1"/>
        <v>171896.60188555068</v>
      </c>
      <c r="E14" s="488">
        <f t="shared" si="1"/>
        <v>7216.9282554199399</v>
      </c>
      <c r="F14" s="488">
        <f t="shared" ca="1" si="1"/>
        <v>74031.471407114121</v>
      </c>
      <c r="G14" s="488">
        <f t="shared" si="1"/>
        <v>240082.01599928789</v>
      </c>
      <c r="H14" s="488">
        <f t="shared" si="1"/>
        <v>38306.056395251428</v>
      </c>
      <c r="I14" s="488">
        <f t="shared" si="1"/>
        <v>0</v>
      </c>
      <c r="J14" s="488">
        <f t="shared" si="1"/>
        <v>1756.4365332796885</v>
      </c>
      <c r="K14" s="488">
        <f t="shared" si="1"/>
        <v>0</v>
      </c>
      <c r="L14" s="488">
        <f t="shared" ca="1" si="1"/>
        <v>0</v>
      </c>
      <c r="M14" s="488">
        <f t="shared" si="1"/>
        <v>15160.394061598679</v>
      </c>
      <c r="N14" s="488">
        <f t="shared" ca="1" si="1"/>
        <v>23845.489449248038</v>
      </c>
      <c r="O14" s="488">
        <f t="shared" si="1"/>
        <v>547.16666666666674</v>
      </c>
      <c r="P14" s="489">
        <f t="shared" si="1"/>
        <v>2307.0666666666666</v>
      </c>
      <c r="Q14" s="489">
        <f t="shared" ca="1" si="1"/>
        <v>680232.71577240084</v>
      </c>
    </row>
    <row r="16" spans="1:17">
      <c r="A16" s="491" t="s">
        <v>556</v>
      </c>
      <c r="B16" s="841">
        <f ca="1">huishoudens!B10</f>
        <v>0.18894605999465264</v>
      </c>
      <c r="C16" s="841">
        <f ca="1">huishoudens!C10</f>
        <v>0.23652419832006455</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7816.7233311048931</v>
      </c>
      <c r="C21" s="478">
        <f t="shared" ref="C21:C30" ca="1" si="3">C4*$C$16</f>
        <v>0</v>
      </c>
      <c r="D21" s="478">
        <f t="shared" ref="D21:D30" si="4">D4*$D$16</f>
        <v>15377.7219348861</v>
      </c>
      <c r="E21" s="478">
        <f t="shared" ref="E21:E30" si="5">E4*$E$16</f>
        <v>1097.1410111697287</v>
      </c>
      <c r="F21" s="478">
        <f t="shared" ref="F21:F30" si="6">F4*$F$16</f>
        <v>4143.1562164473307</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28434.742493608057</v>
      </c>
    </row>
    <row r="22" spans="1:17">
      <c r="A22" s="477" t="s">
        <v>156</v>
      </c>
      <c r="B22" s="478">
        <f t="shared" ca="1" si="2"/>
        <v>5427.3450480764459</v>
      </c>
      <c r="C22" s="478">
        <f t="shared" ca="1" si="3"/>
        <v>45.615381104583875</v>
      </c>
      <c r="D22" s="478">
        <f t="shared" ca="1" si="4"/>
        <v>6351.4446276967137</v>
      </c>
      <c r="E22" s="478">
        <f t="shared" si="5"/>
        <v>119.14959233178308</v>
      </c>
      <c r="F22" s="478">
        <f t="shared" ca="1" si="6"/>
        <v>1365.2378123949484</v>
      </c>
      <c r="G22" s="478">
        <f t="shared" si="7"/>
        <v>0</v>
      </c>
      <c r="H22" s="478">
        <f t="shared" si="8"/>
        <v>0</v>
      </c>
      <c r="I22" s="478">
        <f t="shared" si="9"/>
        <v>0</v>
      </c>
      <c r="J22" s="478">
        <f t="shared" si="10"/>
        <v>2.3292258334417015E-2</v>
      </c>
      <c r="K22" s="478">
        <f t="shared" si="11"/>
        <v>0</v>
      </c>
      <c r="L22" s="478">
        <f t="shared" ca="1" si="12"/>
        <v>0</v>
      </c>
      <c r="M22" s="478">
        <f t="shared" si="13"/>
        <v>0</v>
      </c>
      <c r="N22" s="478">
        <f t="shared" ca="1" si="14"/>
        <v>0</v>
      </c>
      <c r="O22" s="478">
        <f t="shared" si="15"/>
        <v>0</v>
      </c>
      <c r="P22" s="479">
        <f t="shared" si="16"/>
        <v>0</v>
      </c>
      <c r="Q22" s="477">
        <f t="shared" ref="Q22:Q30" ca="1" si="17">SUM(B22:P22)</f>
        <v>13308.815753862811</v>
      </c>
    </row>
    <row r="23" spans="1:17">
      <c r="A23" s="477" t="s">
        <v>194</v>
      </c>
      <c r="B23" s="478">
        <f t="shared" ca="1" si="2"/>
        <v>322.47424059287368</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322.47424059287368</v>
      </c>
    </row>
    <row r="24" spans="1:17">
      <c r="A24" s="477" t="s">
        <v>112</v>
      </c>
      <c r="B24" s="478">
        <f t="shared" ca="1" si="2"/>
        <v>2286.0709450619106</v>
      </c>
      <c r="C24" s="478">
        <f t="shared" ca="1" si="3"/>
        <v>3075.9211735172648</v>
      </c>
      <c r="D24" s="478">
        <f t="shared" si="4"/>
        <v>7386.48057437441</v>
      </c>
      <c r="E24" s="478">
        <f t="shared" si="5"/>
        <v>80.727673879292169</v>
      </c>
      <c r="F24" s="478">
        <f t="shared" si="6"/>
        <v>13457.883284627418</v>
      </c>
      <c r="G24" s="478">
        <f t="shared" si="7"/>
        <v>0</v>
      </c>
      <c r="H24" s="478">
        <f t="shared" si="8"/>
        <v>0</v>
      </c>
      <c r="I24" s="478">
        <f t="shared" si="9"/>
        <v>0</v>
      </c>
      <c r="J24" s="478">
        <f t="shared" si="10"/>
        <v>620.5247965938928</v>
      </c>
      <c r="K24" s="478">
        <f t="shared" si="11"/>
        <v>0</v>
      </c>
      <c r="L24" s="478">
        <f t="shared" si="12"/>
        <v>0</v>
      </c>
      <c r="M24" s="478">
        <f t="shared" si="13"/>
        <v>0</v>
      </c>
      <c r="N24" s="478">
        <f t="shared" si="14"/>
        <v>0</v>
      </c>
      <c r="O24" s="478">
        <f t="shared" si="15"/>
        <v>0</v>
      </c>
      <c r="P24" s="479">
        <f t="shared" si="16"/>
        <v>0</v>
      </c>
      <c r="Q24" s="477">
        <f t="shared" ca="1" si="17"/>
        <v>26907.60844805419</v>
      </c>
    </row>
    <row r="25" spans="1:17">
      <c r="A25" s="477" t="s">
        <v>635</v>
      </c>
      <c r="B25" s="478">
        <f t="shared" ca="1" si="2"/>
        <v>1490.2797912230371</v>
      </c>
      <c r="C25" s="478">
        <f t="shared" ca="1" si="3"/>
        <v>0</v>
      </c>
      <c r="D25" s="478">
        <f t="shared" si="4"/>
        <v>5540.7013283648257</v>
      </c>
      <c r="E25" s="478">
        <f t="shared" si="5"/>
        <v>225.93179487556526</v>
      </c>
      <c r="F25" s="478">
        <f t="shared" si="6"/>
        <v>800.12555222977039</v>
      </c>
      <c r="G25" s="478">
        <f t="shared" si="7"/>
        <v>0</v>
      </c>
      <c r="H25" s="478">
        <f t="shared" si="8"/>
        <v>0</v>
      </c>
      <c r="I25" s="478">
        <f t="shared" si="9"/>
        <v>0</v>
      </c>
      <c r="J25" s="478">
        <f t="shared" si="10"/>
        <v>1.2304439287824538</v>
      </c>
      <c r="K25" s="478">
        <f t="shared" si="11"/>
        <v>0</v>
      </c>
      <c r="L25" s="478">
        <f t="shared" si="12"/>
        <v>0</v>
      </c>
      <c r="M25" s="478">
        <f t="shared" si="13"/>
        <v>0</v>
      </c>
      <c r="N25" s="478">
        <f t="shared" si="14"/>
        <v>0</v>
      </c>
      <c r="O25" s="478">
        <f t="shared" si="15"/>
        <v>0</v>
      </c>
      <c r="P25" s="479">
        <f t="shared" si="16"/>
        <v>0</v>
      </c>
      <c r="Q25" s="477">
        <f t="shared" ca="1" si="17"/>
        <v>8058.2689106219814</v>
      </c>
    </row>
    <row r="26" spans="1:17" s="483" customFormat="1">
      <c r="A26" s="481" t="s">
        <v>561</v>
      </c>
      <c r="B26" s="835">
        <f t="shared" ca="1" si="2"/>
        <v>18.519804222727736</v>
      </c>
      <c r="C26" s="482">
        <f t="shared" ca="1" si="3"/>
        <v>0</v>
      </c>
      <c r="D26" s="482">
        <f t="shared" si="4"/>
        <v>66.765115559191841</v>
      </c>
      <c r="E26" s="482">
        <f t="shared" si="5"/>
        <v>115.29264172395706</v>
      </c>
      <c r="F26" s="482">
        <f t="shared" si="6"/>
        <v>0</v>
      </c>
      <c r="G26" s="482">
        <f t="shared" si="7"/>
        <v>63516.339026747373</v>
      </c>
      <c r="H26" s="482">
        <f t="shared" si="8"/>
        <v>9538.2080424176056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73255.124630670849</v>
      </c>
    </row>
    <row r="27" spans="1:17">
      <c r="A27" s="477" t="s">
        <v>551</v>
      </c>
      <c r="B27" s="478">
        <f t="shared" ca="1" si="2"/>
        <v>0</v>
      </c>
      <c r="C27" s="478">
        <f t="shared" ca="1" si="3"/>
        <v>0</v>
      </c>
      <c r="D27" s="478">
        <f t="shared" si="4"/>
        <v>0</v>
      </c>
      <c r="E27" s="478">
        <f t="shared" si="5"/>
        <v>0</v>
      </c>
      <c r="F27" s="478">
        <f t="shared" si="6"/>
        <v>0</v>
      </c>
      <c r="G27" s="478">
        <f t="shared" si="7"/>
        <v>585.55924506250392</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585.55924506250392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17361.413160281889</v>
      </c>
      <c r="C31" s="488">
        <f t="shared" ca="1" si="18"/>
        <v>3121.5365546218486</v>
      </c>
      <c r="D31" s="488">
        <f t="shared" ca="1" si="18"/>
        <v>34723.11358088124</v>
      </c>
      <c r="E31" s="488">
        <f t="shared" si="18"/>
        <v>1638.242713980326</v>
      </c>
      <c r="F31" s="488">
        <f t="shared" ca="1" si="18"/>
        <v>19766.402865699467</v>
      </c>
      <c r="G31" s="488">
        <f t="shared" si="18"/>
        <v>64101.898271809878</v>
      </c>
      <c r="H31" s="488">
        <f t="shared" si="18"/>
        <v>9538.2080424176056</v>
      </c>
      <c r="I31" s="488">
        <f t="shared" si="18"/>
        <v>0</v>
      </c>
      <c r="J31" s="488">
        <f t="shared" si="18"/>
        <v>621.77853278100974</v>
      </c>
      <c r="K31" s="488">
        <f t="shared" si="18"/>
        <v>0</v>
      </c>
      <c r="L31" s="488">
        <f t="shared" ca="1" si="18"/>
        <v>0</v>
      </c>
      <c r="M31" s="488">
        <f t="shared" si="18"/>
        <v>0</v>
      </c>
      <c r="N31" s="488">
        <f t="shared" ca="1" si="18"/>
        <v>0</v>
      </c>
      <c r="O31" s="488">
        <f t="shared" si="18"/>
        <v>0</v>
      </c>
      <c r="P31" s="489">
        <f t="shared" si="18"/>
        <v>0</v>
      </c>
      <c r="Q31" s="489">
        <f t="shared" ca="1" si="18"/>
        <v>150872.59372247325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0.18894605999465264</v>
      </c>
      <c r="C17" s="528">
        <f ca="1">'EF ele_warmte'!B22</f>
        <v>0.23652419832006455</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0.18894605999465264</v>
      </c>
      <c r="C17" s="528">
        <f ca="1">'EF ele_warmte'!B22</f>
        <v>0.23652419832006455</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0.18894605999465264</v>
      </c>
      <c r="C29" s="529">
        <f ca="1">'EF ele_warmte'!B22</f>
        <v>0.23652419832006455</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2018-09-06T12:48:38Z</dcterms:modified>
</cp:coreProperties>
</file>