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29" i="20"/>
  <c r="C17" i="49"/>
  <c r="Q5" i="48"/>
  <c r="F22" i="16"/>
  <c r="G39" i="14" s="1"/>
  <c r="G41" s="1"/>
  <c r="F8" i="48"/>
  <c r="Q4"/>
  <c r="N22"/>
  <c r="R11" i="14"/>
  <c r="J21" i="48"/>
  <c r="R10" i="14"/>
  <c r="C56" i="22" l="1"/>
  <c r="C58" s="1"/>
  <c r="D44" i="14" s="1"/>
  <c r="D46" s="1"/>
  <c r="C10" i="17"/>
  <c r="C12" s="1"/>
  <c r="D48" i="14" s="1"/>
  <c r="O13"/>
  <c r="O15"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<sst xmlns="http://schemas.openxmlformats.org/spreadsheetml/2006/main" count="1932" uniqueCount="818">
  <si>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</si>
  <si>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</si>
  <si>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</si>
  <si>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</si>
  <si>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</si>
  <si>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</si>
  <si>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</si>
  <si>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</si>
  <si>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</si>
  <si>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</si>
  <si>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</si>
  <si>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</si>
  <si>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</si>
  <si>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</si>
  <si>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</si>
  <si>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</si>
  <si>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</si>
  <si>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</si>
  <si>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</si>
  <si>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</si>
  <si>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</si>
  <si>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</si>
  <si>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</si>
  <si>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</si>
  <si>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</si>
  <si>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</si>
  <si>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</si>
  <si>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</si>
  <si>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</si>
  <si>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</si>
  <si>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</si>
  <si>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</si>
  <si>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</si>
  <si>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</si>
  <si>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</si>
  <si>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</si>
  <si>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</si>
  <si>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</si>
  <si>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</si>
  <si>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</si>
  <si>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</si>
  <si>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</si>
  <si>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</si>
  <si>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</si>
  <si>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</si>
  <si>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</si>
  <si>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</si>
  <si>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</si>
  <si>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</si>
  <si>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</si>
  <si>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</si>
  <si>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</si>
  <si>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</si>
  <si>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</si>
  <si>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</si>
  <si>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</si>
  <si>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</si>
  <si>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</si>
  <si>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</si>
  <si>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</si>
  <si>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</si>
  <si>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</si>
  <si>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</si>
  <si>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</si>
  <si>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</si>
  <si>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</si>
  <si>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</si>
  <si>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</si>
  <si>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</si>
  <si>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</si>
  <si>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</si>
  <si>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</si>
  <si>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</si>
  <si>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</si>
  <si>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</si>
  <si>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</si>
  <si>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</si>
  <si>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</si>
  <si>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</si>
  <si>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</si>
  <si>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</si>
  <si>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</si>
  <si>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</si>
  <si>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</si>
  <si>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</si>
  <si>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</si>
  <si>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</si>
  <si>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</si>
  <si>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</si>
  <si>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</si>
  <si>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</si>
  <si>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</si>
  <si>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</si>
  <si>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</si>
  <si>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</si>
  <si>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</si>
  <si>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</si>
  <si>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</si>
  <si>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</si>
  <si>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</si>
  <si>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</si>
  <si>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</si>
  <si>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</si>
  <si>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</si>
  <si>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</si>
  <si>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</si>
  <si>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</si>
  <si>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</si>
  <si>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</si>
  <si>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</si>
  <si>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</si>
  <si>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</si>
  <si>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</si>
  <si>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</si>
  <si>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</si>
  <si>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</si>
  <si>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</si>
  <si>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</si>
  <si>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</si>
  <si>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</si>
  <si>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</si>
  <si>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</si>
  <si>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</si>
  <si>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</si>
  <si>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</si>
  <si>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</si>
  <si>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</si>
  <si>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</si>
  <si>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</si>
  <si>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</si>
  <si>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</si>
  <si>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</si>
  <si>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</si>
  <si>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</si>
  <si>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</si>
  <si>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</si>
  <si>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</si>
  <si>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</si>
  <si>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</si>
  <si>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</si>
  <si>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</si>
  <si>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</si>
  <si>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</si>
  <si>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</si>
  <si>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</si>
  <si>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</si>
  <si>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</si>
  <si>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</si>
  <si>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</si>
  <si>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</si>
  <si>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</si>
  <si>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</si>
  <si>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</si>
  <si>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</si>
  <si>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</si>
  <si>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</si>
  <si>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</si>
  <si>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</si>
  <si>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</si>
  <si>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</si>
  <si>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</si>
  <si>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</si>
  <si>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</si>
  <si>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</si>
  <si>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</si>
  <si>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</si>
  <si>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</si>
  <si>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</si>
  <si>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</si>
  <si>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</si>
  <si>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</si>
  <si>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</si>
  <si>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</si>
  <si>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</si>
  <si>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</si>
  <si>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</si>
  <si>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</si>
  <si>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</si>
  <si>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</si>
  <si>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</si>
  <si>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</si>
  <si>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</si>
  <si>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</si>
  <si>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</si>
  <si>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</si>
  <si>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</si>
  <si>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</si>
  <si>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</si>
  <si>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</si>
  <si>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</si>
  <si>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</si>
  <si>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</si>
  <si>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</si>
  <si>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</si>
  <si>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</si>
  <si>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</si>
  <si>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</si>
  <si>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</si>
  <si>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</si>
  <si>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</si>
  <si>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</si>
  <si>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</si>
  <si>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</si>
  <si>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</si>
  <si>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</si>
  <si>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</si>
  <si>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</si>
  <si>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</si>
  <si>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</si>
  <si>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</si>
  <si>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</si>
  <si>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</si>
  <si>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</si>
  <si>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</si>
  <si>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</si>
  <si>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</si>
  <si>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</si>
  <si>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</si>
  <si>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</si>
  <si>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</si>
  <si>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</si>
  <si>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</si>
  <si>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</si>
  <si>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</si>
  <si>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</si>
  <si>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</si>
  <si>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</si>
  <si>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</si>
  <si>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</si>
  <si>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</si>
  <si>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</si>
  <si>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</si>
  <si>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</si>
  <si>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</si>
  <si>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</si>
  <si>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</si>
  <si>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</si>
  <si>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</si>
  <si>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</si>
  <si>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</si>
  <si>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</si>
  <si>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</si>
  <si>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</si>
  <si>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</si>
  <si>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</si>
  <si>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</si>
  <si>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</si>
  <si>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</si>
  <si>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</si>
  <si>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</si>
  <si>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</si>
  <si>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</si>
  <si>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</si>
  <si>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</si>
  <si>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</si>
  <si>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</si>
  <si>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</si>
  <si>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</si>
  <si>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</si>
  <si>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</si>
  <si>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</si>
  <si>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</si>
  <si>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</si>
  <si>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</si>
  <si>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</si>
  <si>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</si>
  <si>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</si>
  <si>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</si>
  <si>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</si>
  <si>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</si>
  <si>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</si>
  <si>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</si>
  <si>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</si>
  <si>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</si>
  <si>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</si>
  <si>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</si>
  <si>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</si>
  <si>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</si>
  <si>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</si>
  <si>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</si>
  <si>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</si>
  <si>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</si>
  <si>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</si>
  <si>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</si>
  <si>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</si>
  <si>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</si>
  <si>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</si>
  <si>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</si>
  <si>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</si>
  <si>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</si>
  <si>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</si>
  <si>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</si>
  <si>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</si>
  <si>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</si>
  <si>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</si>
  <si>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</si>
  <si>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</si>
  <si>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</si>
  <si>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</si>
  <si>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</si>
  <si>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</si>
  <si>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</si>
  <si>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</si>
  <si>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</si>
  <si>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</si>
  <si>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</si>
  <si>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</si>
  <si>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</si>
  <si>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</si>
  <si>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</si>
  <si>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</si>
  <si>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</si>
  <si>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</si>
  <si>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</si>
  <si>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</si>
  <si>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</si>
  <si>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</si>
  <si>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</si>
  <si>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</si>
  <si>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</si>
  <si>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</si>
  <si>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</si>
  <si>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</si>
  <si>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</si>
  <si>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</si>
  <si>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</si>
  <si>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</si>
  <si>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</si>
  <si>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</si>
  <si>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</si>
  <si>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</si>
  <si>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</si>
  <si>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</si>
  <si>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</si>
  <si>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</si>
  <si>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</si>
  <si>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</si>
  <si>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</si>
  <si>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</si>
  <si>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</si>
  <si>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</si>
  <si>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</si>
  <si>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</si>
  <si>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</si>
  <si>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</si>
  <si>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</si>
  <si>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</si>
  <si>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</si>
  <si>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</si>
  <si>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</si>
  <si>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</si>
  <si>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</si>
  <si>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</si>
  <si>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</si>
  <si>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</si>
  <si>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</si>
  <si>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</si>
  <si>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</si>
  <si>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</si>
  <si>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</si>
  <si>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</si>
  <si>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</si>
  <si>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</si>
  <si>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</si>
  <si>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</si>
  <si>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</si>
  <si>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</si>
  <si>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</si>
  <si>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</si>
  <si>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</si>
  <si>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</si>
  <si>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</si>
  <si>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</si>
  <si>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</si>
  <si>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</si>
  <si>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</si>
  <si>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</si>
  <si>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</si>
  <si>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</si>
  <si>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</si>
  <si>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</si>
  <si>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</si>
  <si>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</si>
  <si>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</si>
  <si>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</si>
  <si>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</si>
  <si>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</si>
  <si>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</si>
  <si>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</si>
  <si>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</si>
  <si>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</si>
  <si>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</si>
  <si>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</si>
  <si>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</si>
  <si>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</si>
  <si>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</si>
  <si>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</si>
  <si>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</si>
  <si>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</si>
  <si>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</si>
  <si>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</si>
  <si>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</si>
  <si>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</si>
  <si>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</si>
  <si>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</si>
  <si>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</si>
  <si>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</si>
  <si>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</si>
  <si>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</si>
  <si>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</si>
  <si>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</si>
  <si>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</si>
  <si>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</si>
  <si>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</si>
  <si>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</si>
  <si>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</si>
  <si>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</si>
  <si>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</si>
  <si>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</si>
  <si>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</si>
  <si>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</si>
  <si>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</si>
  <si>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</si>
  <si>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</si>
  <si>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</si>
  <si>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</si>
  <si>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</si>
  <si>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</si>
  <si>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</si>
  <si>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</si>
  <si>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</si>
  <si>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</si>
  <si>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</si>
  <si>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</si>
  <si>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</si>
  <si>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</si>
  <si>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</si>
  <si>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</si>
  <si>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</si>
  <si>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</si>
  <si>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</si>
  <si>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</si>
  <si>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</si>
  <si>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</si>
  <si>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</si>
  <si>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</si>
  <si>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</si>
  <si>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</si>
  <si>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</si>
  <si>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</si>
  <si>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</si>
  <si>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</si>
  <si>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</si>
  <si>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</si>
  <si>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</si>
  <si>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</si>
  <si>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</si>
  <si>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</si>
  <si>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</si>
  <si>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</si>
  <si>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</si>
  <si>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</si>
  <si>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</si>
  <si>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</si>
  <si>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</si>
  <si>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</si>
  <si>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</si>
  <si>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</si>
  <si>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</si>
  <si>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</si>
  <si>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</si>
  <si>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</si>
  <si>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</si>
  <si>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</si>
  <si>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</si>
  <si>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</si>
  <si>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</si>
  <si>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</si>
  <si>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</si>
  <si>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</si>
  <si>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</si>
  <si>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</si>
  <si>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</si>
  <si>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</si>
  <si>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</si>
  <si>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</si>
  <si>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</si>
  <si>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</si>
  <si>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</si>
  <si>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</si>
  <si>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</si>
  <si>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</si>
  <si>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</si>
  <si>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</si>
  <si>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</si>
  <si>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</si>
  <si>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</si>
  <si>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</si>
  <si>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</si>
  <si>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</si>
  <si>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</si>
  <si>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</si>
  <si>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</si>
  <si>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</si>
  <si>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</si>
  <si>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</si>
  <si>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</si>
  <si>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</si>
  <si>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</si>
  <si>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</si>
  <si>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</si>
  <si>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</si>
  <si>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</si>
  <si>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</si>
  <si>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</si>
  <si>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</si>
  <si>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</si>
  <si>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</si>
  <si>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</si>
  <si>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</si>
  <si>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</si>
  <si>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</si>
  <si>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</si>
  <si>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</si>
  <si>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</si>
  <si>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</si>
  <si>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</si>
  <si>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</si>
  <si>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</si>
  <si>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</si>
  <si>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</si>
  <si>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</si>
  <si>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</si>
  <si>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</si>
  <si>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</si>
  <si>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</si>
  <si>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</si>
  <si>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</si>
  <si>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</si>
  <si>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</si>
  <si>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</si>
  <si>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</si>
  <si>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</si>
  <si>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</si>
  <si>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</si>
  <si>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</si>
  <si>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</si>
  <si>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</si>
  <si>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</si>
  <si>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</si>
  <si>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</si>
  <si>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</si>
  <si>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</si>
  <si>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</si>
  <si>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</si>
  <si>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</si>
  <si>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</si>
  <si>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</si>
  <si>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</si>
  <si>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</si>
  <si>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</si>
  <si>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</si>
  <si>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</si>
  <si>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</si>
  <si>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</si>
  <si>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</si>
  <si>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</si>
  <si>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</si>
  <si>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</si>
  <si>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</si>
  <si>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</si>
  <si>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</si>
  <si>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</si>
  <si>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</si>
  <si>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</si>
  <si>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</si>
  <si>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</si>
  <si>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</si>
  <si>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</si>
  <si>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</si>
  <si>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</si>
  <si>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</si>
  <si>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</si>
  <si>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</si>
  <si>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</si>
  <si>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</si>
  <si>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</si>
  <si>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</si>
  <si>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</si>
  <si>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</si>
  <si>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</si>
  <si>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</si>
  <si>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</si>
  <si>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</si>
  <si>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</si>
  <si>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</si>
  <si>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</si>
  <si>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</si>
  <si>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</si>
  <si>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</si>
  <si>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</si>
  <si>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</si>
  <si>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</si>
  <si>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</si>
  <si>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</si>
  <si>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</si>
  <si>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</si>
  <si>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</si>
  <si>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</si>
  <si>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</si>
  <si>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</si>
  <si>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</si>
  <si>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</si>
  <si>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</si>
  <si>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</si>
  <si>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</si>
  <si>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</si>
  <si>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</si>
  <si>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</si>
  <si>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</si>
  <si>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</si>
  <si>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</si>
  <si>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</si>
  <si>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</si>
  <si>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</si>
  <si>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</si>
  <si>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</si>
  <si>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</si>
  <si>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</si>
  <si>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</si>
  <si>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</si>
  <si>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</si>
  <si>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</si>
  <si>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</si>
  <si>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</si>
  <si>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</si>
  <si>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</si>
  <si>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</si>
  <si>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</si>
  <si>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</si>
  <si>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</si>
  <si>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</si>
  <si>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</si>
  <si>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</si>
  <si>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</si>
  <si>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</si>
  <si>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</si>
  <si>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</si>
  <si>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</si>
  <si>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</si>
  <si>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</si>
  <si>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</si>
  <si>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</si>
  <si>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</si>
  <si>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</si>
  <si>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</si>
  <si>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</si>
  <si>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</si>
  <si>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</si>
  <si>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</si>
  <si>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</si>
  <si>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</si>
  <si>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</si>
  <si>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</si>
  <si>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</si>
  <si>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</si>
  <si>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</si>
  <si>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</si>
  <si>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</si>
  <si>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</si>
  <si>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</si>
  <si>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</si>
  <si>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</si>
  <si>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</si>
  <si>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</si>
  <si>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</si>
  <si>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</si>
  <si>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</si>
  <si>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</si>
  <si>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</si>
  <si>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</si>
  <si>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</si>
  <si>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</si>
  <si>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</si>
  <si>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</si>
  <si>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</si>
  <si>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</si>
  <si>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</si>
  <si>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</si>
  <si>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</si>
  <si>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</si>
  <si>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</si>
  <si>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</si>
  <si>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</si>
  <si>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</si>
  <si>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</si>
  <si>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</si>
  <si>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</si>
  <si>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</si>
  <si>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</si>
  <si>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</si>
  <si>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</si>
  <si>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</si>
  <si>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</si>
  <si>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</si>
  <si>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</si>
  <si>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</si>
  <si>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</si>
  <si>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</si>
  <si>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</si>
  <si>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</si>
  <si>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</si>
  <si>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</si>
  <si>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</si>
  <si>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</si>
  <si>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</si>
  <si>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</si>
  <si>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</si>
  <si>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</si>
  <si>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</si>
  <si>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</si>
  <si>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</si>
  <si>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</si>
  <si>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</si>
  <si>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</si>
  <si>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</si>
  <si>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</si>
  <si>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</si>
  <si>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</si>
  <si>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</si>
  <si>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</si>
  <si>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</si>
  <si>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</si>
  <si>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</si>
  <si>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</si>
  <si>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</si>
  <si>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</si>
  <si>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</si>
  <si>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</si>
  <si>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</si>
  <si>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</si>
  <si>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</si>
  <si>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</si>
  <si>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</si>
  <si>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</si>
  <si>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</si>
  <si>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</si>
  <si>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</si>
  <si>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</si>
  <si>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</si>
  <si>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</si>
  <si>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</si>
  <si>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</si>
  <si>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</si>
  <si>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</si>
  <si>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</si>
  <si>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</si>
  <si>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</si>
  <si>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</si>
  <si>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</si>
  <si>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</si>
  <si>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</si>
  <si>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</si>
  <si>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</si>
  <si>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</si>
  <si>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</si>
  <si>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</si>
  <si>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</si>
  <si>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</si>
  <si>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</si>
  <si>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</si>
  <si>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</si>
  <si>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</si>
  <si>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</si>
  <si>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</si>
  <si>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</si>
  <si>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</si>
  <si>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</si>
  <si>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</si>
  <si>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</si>
  <si>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</si>
  <si>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</si>
  <si>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</si>
  <si>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</si>
  <si>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</si>
  <si>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</si>
  <si>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</si>
  <si>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</si>
  <si>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</si>
  <si>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</si>
  <si>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</si>
  <si>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</si>
  <si>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</si>
  <si>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</si>
  <si>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</si>
  <si>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</si>
  <si>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</si>
  <si>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</si>
  <si>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</si>
  <si>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</si>
  <si>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</si>
  <si>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44029</t>
  </si>
  <si>
    <t>KNESSELARE</t>
  </si>
  <si>
    <t>Eandis (januari 2018); Infrax (juni 2018)</t>
  </si>
  <si>
    <t>MOW (september 2017)</t>
  </si>
  <si>
    <t>referentietaak LNE (2017); Jaarverslag De Lijn (2016)</t>
  </si>
  <si>
    <t>VEA (april 2018)</t>
  </si>
  <si>
    <t>VEA (januari 2017)</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</si>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</sst>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79977.067816659895</c:v>
                </c:pt>
                <c:pt idx="1">
                  <c:v>22863.595370407511</c:v>
                </c:pt>
                <c:pt idx="2">
                  <c:v>609.53399999999999</c:v>
                </c:pt>
                <c:pt idx="3">
                  <c:v>15372.585973160261</c:v>
                </c:pt>
                <c:pt idx="4">
                  <c:v>25094.268924892924</c:v>
                </c:pt>
                <c:pt idx="5">
                  <c:v>54722.14938222729</c:v>
                </c:pt>
                <c:pt idx="6">
                  <c:v>547.93245437335202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79977.067816659895</c:v>
                </c:pt>
                <c:pt idx="1">
                  <c:v>22863.595370407511</c:v>
                </c:pt>
                <c:pt idx="2">
                  <c:v>609.53399999999999</c:v>
                </c:pt>
                <c:pt idx="3">
                  <c:v>15372.585973160261</c:v>
                </c:pt>
                <c:pt idx="4">
                  <c:v>25094.268924892924</c:v>
                </c:pt>
                <c:pt idx="5">
                  <c:v>54722.14938222729</c:v>
                </c:pt>
                <c:pt idx="6">
                  <c:v>547.93245437335202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14817.750285890334</c:v>
                </c:pt>
                <c:pt idx="1">
                  <c:v>4431.0066973261019</c:v>
                </c:pt>
                <c:pt idx="2">
                  <c:v>127.36090226283375</c:v>
                </c:pt>
                <c:pt idx="3">
                  <c:v>3879.2603239570744</c:v>
                </c:pt>
                <c:pt idx="4">
                  <c:v>2789.774810926966</c:v>
                </c:pt>
                <c:pt idx="5">
                  <c:v>13698.384579048718</c:v>
                </c:pt>
                <c:pt idx="6">
                  <c:v>138.43544327358407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669312"/>
      </c:barChart>
      <c:catAx>
        <c:axId val="182606080"/>
        <c:scaling>
          <c:orientation val="minMax"/>
        </c:scaling>
        <c:axPos val="b"/>
        <c:numFmt formatCode="General" sourceLinked="0"/>
        <c:tickLblPos val="nextTo"/>
        <c:crossAx val="182669312"/>
        <c:crosses val="autoZero"/>
        <c:auto val="1"/>
        <c:lblAlgn val="ctr"/>
        <c:lblOffset val="100"/>
      </c:catAx>
      <c:valAx>
        <c:axId val="182669312"/>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14817.750285890334</c:v>
                </c:pt>
                <c:pt idx="1">
                  <c:v>4431.0066973261019</c:v>
                </c:pt>
                <c:pt idx="2">
                  <c:v>127.36090226283375</c:v>
                </c:pt>
                <c:pt idx="3">
                  <c:v>3879.2603239570744</c:v>
                </c:pt>
                <c:pt idx="4">
                  <c:v>2789.774810926966</c:v>
                </c:pt>
                <c:pt idx="5">
                  <c:v>13698.384579048718</c:v>
                </c:pt>
                <c:pt idx="6">
                  <c:v>138.43544327358407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44029</v>
      </c>
      <c r="B6" s="415"/>
      <c r="C6" s="416"/>
    </row>
    <row r="7" spans="1:7" s="413" customFormat="1" ht="15.75" customHeight="1">
      <c r="A7" s="417" t="str">
        <f>txtMunicipality</f>
        <v>KNESSELARE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3446</v>
      </c>
      <c r="C9" s="342">
        <v>3610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2333.56</v>
      </c>
    </row>
    <row r="15" spans="1:6">
      <c r="A15" s="348" t="s">
        <v>184</v>
      </c>
      <c r="B15" s="334">
        <v>605</v>
      </c>
    </row>
    <row r="16" spans="1:6">
      <c r="A16" s="348" t="s">
        <v>6</v>
      </c>
      <c r="B16" s="334">
        <v>1265</v>
      </c>
    </row>
    <row r="17" spans="1:6">
      <c r="A17" s="348" t="s">
        <v>7</v>
      </c>
      <c r="B17" s="334">
        <v>454</v>
      </c>
    </row>
    <row r="18" spans="1:6">
      <c r="A18" s="348" t="s">
        <v>8</v>
      </c>
      <c r="B18" s="334">
        <v>1224</v>
      </c>
    </row>
    <row r="19" spans="1:6">
      <c r="A19" s="348" t="s">
        <v>9</v>
      </c>
      <c r="B19" s="334">
        <v>1338</v>
      </c>
    </row>
    <row r="20" spans="1:6">
      <c r="A20" s="348" t="s">
        <v>10</v>
      </c>
      <c r="B20" s="334">
        <v>924</v>
      </c>
    </row>
    <row r="21" spans="1:6">
      <c r="A21" s="348" t="s">
        <v>11</v>
      </c>
      <c r="B21" s="334">
        <v>10219</v>
      </c>
    </row>
    <row r="22" spans="1:6">
      <c r="A22" s="348" t="s">
        <v>12</v>
      </c>
      <c r="B22" s="334">
        <v>27409</v>
      </c>
    </row>
    <row r="23" spans="1:6">
      <c r="A23" s="348" t="s">
        <v>13</v>
      </c>
      <c r="B23" s="334">
        <v>516</v>
      </c>
    </row>
    <row r="24" spans="1:6">
      <c r="A24" s="348" t="s">
        <v>14</v>
      </c>
      <c r="B24" s="334">
        <v>11</v>
      </c>
    </row>
    <row r="25" spans="1:6">
      <c r="A25" s="348" t="s">
        <v>15</v>
      </c>
      <c r="B25" s="334">
        <v>2160</v>
      </c>
    </row>
    <row r="26" spans="1:6">
      <c r="A26" s="348" t="s">
        <v>16</v>
      </c>
      <c r="B26" s="334">
        <v>262</v>
      </c>
    </row>
    <row r="27" spans="1:6">
      <c r="A27" s="348" t="s">
        <v>17</v>
      </c>
      <c r="B27" s="334">
        <v>479</v>
      </c>
    </row>
    <row r="28" spans="1:6" s="356" customFormat="1">
      <c r="A28" s="355" t="s">
        <v>18</v>
      </c>
      <c r="B28" s="355">
        <v>37745</v>
      </c>
    </row>
    <row r="29" spans="1:6">
      <c r="A29" s="355" t="s">
        <v>744</v>
      </c>
      <c r="B29" s="355">
        <v>183</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1448</v>
      </c>
      <c r="D39" s="334">
        <v>22506873.270955801</v>
      </c>
      <c r="E39" s="334">
        <v>3237</v>
      </c>
      <c r="F39" s="334">
        <v>14712765.615599399</v>
      </c>
    </row>
    <row r="40" spans="1:6">
      <c r="A40" s="348" t="s">
        <v>30</v>
      </c>
      <c r="B40" s="348" t="s">
        <v>29</v>
      </c>
      <c r="C40" s="334">
        <v>0</v>
      </c>
      <c r="D40" s="334">
        <v>0</v>
      </c>
      <c r="E40" s="334">
        <v>0</v>
      </c>
      <c r="F40" s="334">
        <v>0</v>
      </c>
    </row>
    <row r="41" spans="1:6">
      <c r="A41" s="348" t="s">
        <v>32</v>
      </c>
      <c r="B41" s="348" t="s">
        <v>33</v>
      </c>
      <c r="C41" s="334">
        <v>39</v>
      </c>
      <c r="D41" s="334">
        <v>816069.74512308603</v>
      </c>
      <c r="E41" s="334">
        <v>116</v>
      </c>
      <c r="F41" s="334">
        <v>1070169.4251556799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207136.60077553001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3906289.3983019199</v>
      </c>
    </row>
    <row r="48" spans="1:6">
      <c r="A48" s="348" t="s">
        <v>32</v>
      </c>
      <c r="B48" s="348" t="s">
        <v>29</v>
      </c>
      <c r="C48" s="334">
        <v>20</v>
      </c>
      <c r="D48" s="334">
        <v>560660.39089949103</v>
      </c>
      <c r="E48" s="334">
        <v>26</v>
      </c>
      <c r="F48" s="334">
        <v>404902.79190886498</v>
      </c>
    </row>
    <row r="49" spans="1:6">
      <c r="A49" s="348" t="s">
        <v>32</v>
      </c>
      <c r="B49" s="348" t="s">
        <v>40</v>
      </c>
      <c r="C49" s="334">
        <v>0</v>
      </c>
      <c r="D49" s="334">
        <v>0</v>
      </c>
      <c r="E49" s="334">
        <v>0</v>
      </c>
      <c r="F49" s="334">
        <v>0</v>
      </c>
    </row>
    <row r="50" spans="1:6">
      <c r="A50" s="348" t="s">
        <v>32</v>
      </c>
      <c r="B50" s="348" t="s">
        <v>41</v>
      </c>
      <c r="C50" s="334">
        <v>3</v>
      </c>
      <c r="D50" s="334">
        <v>441987.07176786702</v>
      </c>
      <c r="E50" s="334">
        <v>10</v>
      </c>
      <c r="F50" s="334">
        <v>4109968.6373197902</v>
      </c>
    </row>
    <row r="51" spans="1:6">
      <c r="A51" s="348" t="s">
        <v>42</v>
      </c>
      <c r="B51" s="348" t="s">
        <v>43</v>
      </c>
      <c r="C51" s="334">
        <v>3</v>
      </c>
      <c r="D51" s="334">
        <v>50456.767162387398</v>
      </c>
      <c r="E51" s="334">
        <v>97</v>
      </c>
      <c r="F51" s="334">
        <v>2186501.2411826602</v>
      </c>
    </row>
    <row r="52" spans="1:6">
      <c r="A52" s="348" t="s">
        <v>42</v>
      </c>
      <c r="B52" s="348" t="s">
        <v>29</v>
      </c>
      <c r="C52" s="334">
        <v>1</v>
      </c>
      <c r="D52" s="334">
        <v>17967.1479427831</v>
      </c>
      <c r="E52" s="334">
        <v>1</v>
      </c>
      <c r="F52" s="334">
        <v>317.15740101919999</v>
      </c>
    </row>
    <row r="53" spans="1:6">
      <c r="A53" s="348" t="s">
        <v>44</v>
      </c>
      <c r="B53" s="348" t="s">
        <v>45</v>
      </c>
      <c r="C53" s="334">
        <v>38</v>
      </c>
      <c r="D53" s="334">
        <v>476526.42508414801</v>
      </c>
      <c r="E53" s="334">
        <v>130</v>
      </c>
      <c r="F53" s="334">
        <v>581607.76239758101</v>
      </c>
    </row>
    <row r="54" spans="1:6">
      <c r="A54" s="348" t="s">
        <v>46</v>
      </c>
      <c r="B54" s="348" t="s">
        <v>47</v>
      </c>
      <c r="C54" s="334">
        <v>0</v>
      </c>
      <c r="D54" s="334">
        <v>0</v>
      </c>
      <c r="E54" s="334">
        <v>2</v>
      </c>
      <c r="F54" s="334">
        <v>609534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1459027.2657637801</v>
      </c>
      <c r="E57" s="334">
        <v>69</v>
      </c>
      <c r="F57" s="334">
        <v>1749392.18672789</v>
      </c>
    </row>
    <row r="58" spans="1:6">
      <c r="A58" s="348" t="s">
        <v>49</v>
      </c>
      <c r="B58" s="348" t="s">
        <v>51</v>
      </c>
      <c r="C58" s="334">
        <v>6</v>
      </c>
      <c r="D58" s="334">
        <v>95793.981285683403</v>
      </c>
      <c r="E58" s="334">
        <v>20</v>
      </c>
      <c r="F58" s="334">
        <v>141821.60608192199</v>
      </c>
    </row>
    <row r="59" spans="1:6">
      <c r="A59" s="348" t="s">
        <v>49</v>
      </c>
      <c r="B59" s="348" t="s">
        <v>52</v>
      </c>
      <c r="C59" s="334">
        <v>16</v>
      </c>
      <c r="D59" s="334">
        <v>575724.13803383603</v>
      </c>
      <c r="E59" s="334">
        <v>81</v>
      </c>
      <c r="F59" s="334">
        <v>2338529.2765724799</v>
      </c>
    </row>
    <row r="60" spans="1:6">
      <c r="A60" s="348" t="s">
        <v>49</v>
      </c>
      <c r="B60" s="348" t="s">
        <v>53</v>
      </c>
      <c r="C60" s="334">
        <v>22</v>
      </c>
      <c r="D60" s="334">
        <v>1102853.4671966101</v>
      </c>
      <c r="E60" s="334">
        <v>39</v>
      </c>
      <c r="F60" s="334">
        <v>759675.28446804301</v>
      </c>
    </row>
    <row r="61" spans="1:6">
      <c r="A61" s="348" t="s">
        <v>49</v>
      </c>
      <c r="B61" s="348" t="s">
        <v>54</v>
      </c>
      <c r="C61" s="334">
        <v>35</v>
      </c>
      <c r="D61" s="334">
        <v>623208.47943865799</v>
      </c>
      <c r="E61" s="334">
        <v>113</v>
      </c>
      <c r="F61" s="334">
        <v>949886.77834867302</v>
      </c>
    </row>
    <row r="62" spans="1:6">
      <c r="A62" s="348" t="s">
        <v>49</v>
      </c>
      <c r="B62" s="348" t="s">
        <v>55</v>
      </c>
      <c r="C62" s="334">
        <v>0</v>
      </c>
      <c r="D62" s="334">
        <v>0</v>
      </c>
      <c r="E62" s="334">
        <v>3</v>
      </c>
      <c r="F62" s="334">
        <v>23192.572697752101</v>
      </c>
    </row>
    <row r="63" spans="1:6">
      <c r="A63" s="348" t="s">
        <v>49</v>
      </c>
      <c r="B63" s="348" t="s">
        <v>29</v>
      </c>
      <c r="C63" s="334">
        <v>61</v>
      </c>
      <c r="D63" s="334">
        <v>10044472.359608</v>
      </c>
      <c r="E63" s="334">
        <v>92</v>
      </c>
      <c r="F63" s="334">
        <v>1229160.6806294201</v>
      </c>
    </row>
    <row r="64" spans="1:6">
      <c r="A64" s="348" t="s">
        <v>56</v>
      </c>
      <c r="B64" s="348" t="s">
        <v>57</v>
      </c>
      <c r="C64" s="334">
        <v>0</v>
      </c>
      <c r="D64" s="334">
        <v>0</v>
      </c>
      <c r="E64" s="334">
        <v>0</v>
      </c>
      <c r="F64" s="334">
        <v>0</v>
      </c>
    </row>
    <row r="65" spans="1:6">
      <c r="A65" s="348" t="s">
        <v>56</v>
      </c>
      <c r="B65" s="348" t="s">
        <v>29</v>
      </c>
      <c r="C65" s="334">
        <v>2</v>
      </c>
      <c r="D65" s="334">
        <v>39737.295571930103</v>
      </c>
      <c r="E65" s="334">
        <v>1</v>
      </c>
      <c r="F65" s="334">
        <v>3022.5246623004</v>
      </c>
    </row>
    <row r="66" spans="1:6">
      <c r="A66" s="348" t="s">
        <v>56</v>
      </c>
      <c r="B66" s="348" t="s">
        <v>58</v>
      </c>
      <c r="C66" s="334">
        <v>0</v>
      </c>
      <c r="D66" s="334">
        <v>0</v>
      </c>
      <c r="E66" s="334">
        <v>5</v>
      </c>
      <c r="F66" s="334">
        <v>155254</v>
      </c>
    </row>
    <row r="67" spans="1:6">
      <c r="A67" s="355" t="s">
        <v>56</v>
      </c>
      <c r="B67" s="355" t="s">
        <v>59</v>
      </c>
      <c r="C67" s="334">
        <v>0</v>
      </c>
      <c r="D67" s="334">
        <v>0</v>
      </c>
      <c r="E67" s="334">
        <v>0</v>
      </c>
      <c r="F67" s="334">
        <v>0</v>
      </c>
    </row>
    <row r="68" spans="1:6">
      <c r="A68" s="341" t="s">
        <v>56</v>
      </c>
      <c r="B68" s="341" t="s">
        <v>60</v>
      </c>
      <c r="C68" s="334">
        <v>0</v>
      </c>
      <c r="D68" s="334">
        <v>0</v>
      </c>
      <c r="E68" s="334">
        <v>5</v>
      </c>
      <c r="F68" s="334">
        <v>76788.308182452194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59266861</v>
      </c>
      <c r="E73" s="476">
        <v>61339208.638665646</v>
      </c>
    </row>
    <row r="74" spans="1:6">
      <c r="A74" s="348" t="s">
        <v>64</v>
      </c>
      <c r="B74" s="348" t="s">
        <v>657</v>
      </c>
      <c r="C74" s="1213" t="s">
        <v>659</v>
      </c>
      <c r="D74" s="476">
        <v>5571860.7804563604</v>
      </c>
      <c r="E74" s="476">
        <v>5647948.9240294313</v>
      </c>
    </row>
    <row r="75" spans="1:6">
      <c r="A75" s="348" t="s">
        <v>65</v>
      </c>
      <c r="B75" s="348" t="s">
        <v>656</v>
      </c>
      <c r="C75" s="1213" t="s">
        <v>660</v>
      </c>
      <c r="D75" s="476">
        <v>5011207</v>
      </c>
      <c r="E75" s="476">
        <v>5186372.1883184006</v>
      </c>
    </row>
    <row r="76" spans="1:6">
      <c r="A76" s="348" t="s">
        <v>65</v>
      </c>
      <c r="B76" s="348" t="s">
        <v>657</v>
      </c>
      <c r="C76" s="1213" t="s">
        <v>661</v>
      </c>
      <c r="D76" s="476">
        <v>58627.780456360677</v>
      </c>
      <c r="E76" s="476">
        <v>60738.466434008631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148608.43908727865</v>
      </c>
      <c r="C83" s="476">
        <v>148037.81772619512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1755.0845132855898</v>
      </c>
    </row>
    <row r="92" spans="1:6">
      <c r="A92" s="341" t="s">
        <v>69</v>
      </c>
      <c r="B92" s="342">
        <v>365.80096053054456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112</v>
      </c>
    </row>
    <row r="130" spans="1:6">
      <c r="A130" s="348" t="s">
        <v>295</v>
      </c>
      <c r="B130" s="334">
        <v>3</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36179.614971391333</v>
      </c>
      <c r="C3" s="43" t="s">
        <v>170</v>
      </c>
      <c r="D3" s="43"/>
      <c r="E3" s="154"/>
      <c r="F3" s="43"/>
      <c r="G3" s="43"/>
      <c r="H3" s="43"/>
      <c r="I3" s="43"/>
      <c r="J3" s="43"/>
      <c r="K3" s="96"/>
    </row>
    <row r="4" spans="1:11">
      <c r="A4" s="383" t="s">
        <v>171</v>
      </c>
      <c r="B4" s="49">
        <f>IF(ISERROR('SEAP template'!B69),0,'SEAP template'!B69)</f>
        <v>4707.0354738161341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604.21764705882356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0.20894798692580521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863.16806722689068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3694.4999999999991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0.23363596352060925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609.53399999999999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609.53399999999999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0.20894798692580521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127.36090226283375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14712.765615599399</v>
      </c>
      <c r="C5" s="17">
        <f>IF(ISERROR('Eigen informatie GS &amp; warmtenet'!B57),0,'Eigen informatie GS &amp; warmtenet'!B57)</f>
        <v>0</v>
      </c>
      <c r="D5" s="30">
        <f>(SUM(HH_hh_gas_kWh,HH_rest_gas_kWh)/1000)*0.902</f>
        <v>20301.199690402136</v>
      </c>
      <c r="E5" s="17">
        <f>B46*B57</f>
        <v>3023.5664309453468</v>
      </c>
      <c r="F5" s="17">
        <f>B51*B62</f>
        <v>21005.755780908021</v>
      </c>
      <c r="G5" s="18"/>
      <c r="H5" s="17"/>
      <c r="I5" s="17"/>
      <c r="J5" s="17">
        <f>B50*B61+C50*C61</f>
        <v>2771.461699648828</v>
      </c>
      <c r="K5" s="17"/>
      <c r="L5" s="17"/>
      <c r="M5" s="17"/>
      <c r="N5" s="17">
        <f>B48*B59+C48*C59</f>
        <v>15824.230752537249</v>
      </c>
      <c r="O5" s="17">
        <f>B69*B70*B71</f>
        <v>201.67000000000004</v>
      </c>
      <c r="P5" s="17">
        <f>B77*B78*B79/1000-B77*B78*B79/1000/B80</f>
        <v>381.33333333333337</v>
      </c>
    </row>
    <row r="6" spans="1:16">
      <c r="A6" s="16" t="s">
        <v>621</v>
      </c>
      <c r="B6" s="843">
        <f>kWh_PV_kleiner_dan_10kW</f>
        <v>1755.0845132855898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16467.850128884987</v>
      </c>
      <c r="C8" s="21">
        <f>C5</f>
        <v>0</v>
      </c>
      <c r="D8" s="21">
        <f>D5</f>
        <v>20301.199690402136</v>
      </c>
      <c r="E8" s="21">
        <f>E5</f>
        <v>3023.5664309453468</v>
      </c>
      <c r="F8" s="21">
        <f>F5</f>
        <v>21005.755780908021</v>
      </c>
      <c r="G8" s="21"/>
      <c r="H8" s="21"/>
      <c r="I8" s="21"/>
      <c r="J8" s="21">
        <f>J5</f>
        <v>2771.461699648828</v>
      </c>
      <c r="K8" s="21"/>
      <c r="L8" s="21">
        <f>L5</f>
        <v>0</v>
      </c>
      <c r="M8" s="21">
        <f>M5</f>
        <v>0</v>
      </c>
      <c r="N8" s="21">
        <f>N5</f>
        <v>15824.230752537249</v>
      </c>
      <c r="O8" s="21">
        <f>O5</f>
        <v>201.67000000000004</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0.20894798692580521</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3440.9241334263802</v>
      </c>
      <c r="C12" s="23">
        <f ca="1">C10*C8</f>
        <v>0</v>
      </c>
      <c r="D12" s="23">
        <f>D8*D10</f>
        <v>4100.8423374612321</v>
      </c>
      <c r="E12" s="23">
        <f>E10*E8</f>
        <v>686.34957982459377</v>
      </c>
      <c r="F12" s="23">
        <f>F10*F8</f>
        <v>5608.5367935024415</v>
      </c>
      <c r="G12" s="23"/>
      <c r="H12" s="23"/>
      <c r="I12" s="23"/>
      <c r="J12" s="23">
        <f>J10*J8</f>
        <v>981.0974416756851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3446</v>
      </c>
      <c r="C28" s="36"/>
      <c r="D28" s="228"/>
    </row>
    <row r="29" spans="1:7" s="15" customFormat="1">
      <c r="A29" s="230" t="s">
        <v>795</v>
      </c>
      <c r="B29" s="37">
        <f>SUM(HH_hh_gas_aantal,HH_rest_gas_aantal)</f>
        <v>1448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1448</v>
      </c>
      <c r="C32" s="167">
        <f>IF(ISERROR(B32/SUM($B$32,$B$34,$B$35,$B$36,$B$38,$B$39)*100),0,B32/SUM($B$32,$B$34,$B$35,$B$36,$B$38,$B$39)*100)</f>
        <v>42.265032107413894</v>
      </c>
      <c r="D32" s="233"/>
      <c r="G32" s="15"/>
    </row>
    <row r="33" spans="1:7">
      <c r="A33" s="171" t="s">
        <v>72</v>
      </c>
      <c r="B33" s="34" t="s">
        <v>111</v>
      </c>
      <c r="C33" s="167"/>
      <c r="D33" s="233"/>
      <c r="G33" s="15"/>
    </row>
    <row r="34" spans="1:7">
      <c r="A34" s="171" t="s">
        <v>73</v>
      </c>
      <c r="B34" s="33">
        <f>IF((($B$28-$B$32-$B$39-$B$77-$B$38)*C20/100)&lt;0,0,($B$28-$B$32-$B$39-$B$77-$B$38)*C20/100)</f>
        <v>142.80000000000001</v>
      </c>
      <c r="C34" s="167">
        <f>IF(ISERROR(B34/SUM($B$32,$B$34,$B$35,$B$36,$B$38,$B$39)*100),0,B34/SUM($B$32,$B$34,$B$35,$B$36,$B$38,$B$39)*100)</f>
        <v>4.1681260945709289</v>
      </c>
      <c r="D34" s="233"/>
      <c r="G34" s="15"/>
    </row>
    <row r="35" spans="1:7">
      <c r="A35" s="171" t="s">
        <v>74</v>
      </c>
      <c r="B35" s="33">
        <f>IF((($B$28-$B$32-$B$39-$B$77-$B$38)*C21/100)&lt;0,0,($B$28-$B$32-$B$39-$B$77-$B$38)*C21/100)</f>
        <v>725.9</v>
      </c>
      <c r="C35" s="167">
        <f>IF(ISERROR(B35/SUM($B$32,$B$34,$B$35,$B$36,$B$38,$B$39)*100),0,B35/SUM($B$32,$B$34,$B$35,$B$36,$B$38,$B$39)*100)</f>
        <v>21.187974314068882</v>
      </c>
      <c r="D35" s="233"/>
      <c r="G35" s="15"/>
    </row>
    <row r="36" spans="1:7">
      <c r="A36" s="171" t="s">
        <v>75</v>
      </c>
      <c r="B36" s="33">
        <f>IF((($B$28-$B$32-$B$39-$B$77-$B$38)*C22/100)&lt;0,0,($B$28-$B$32-$B$39-$B$77-$B$38)*C22/100)</f>
        <v>219.3</v>
      </c>
      <c r="C36" s="167">
        <f>IF(ISERROR(B36/SUM($B$32,$B$34,$B$35,$B$36,$B$38,$B$39)*100),0,B36/SUM($B$32,$B$34,$B$35,$B$36,$B$38,$B$39)*100)</f>
        <v>6.4010507880910685</v>
      </c>
      <c r="D36" s="233"/>
      <c r="G36" s="15"/>
    </row>
    <row r="37" spans="1:7">
      <c r="A37" s="171" t="s">
        <v>76</v>
      </c>
      <c r="B37" s="34" t="s">
        <v>111</v>
      </c>
      <c r="C37" s="167"/>
      <c r="D37" s="173"/>
      <c r="G37" s="15"/>
    </row>
    <row r="38" spans="1:7">
      <c r="A38" s="171" t="s">
        <v>77</v>
      </c>
      <c r="B38" s="33">
        <f>IF((B24-(B29-B18)*0.1)&lt;0,0,B24-(B29-B18)*0.1)</f>
        <v>78.599999999999994</v>
      </c>
      <c r="C38" s="167">
        <f>IF(ISERROR(B38/SUM($B$32,$B$34,$B$35,$B$36,$B$38,$B$39)*100),0,B38/SUM($B$32,$B$34,$B$35,$B$36,$B$38,$B$39)*100)</f>
        <v>2.294220665499124</v>
      </c>
      <c r="D38" s="234"/>
      <c r="G38" s="15"/>
    </row>
    <row r="39" spans="1:7">
      <c r="A39" s="171" t="s">
        <v>78</v>
      </c>
      <c r="B39" s="33">
        <f>IF((B25-(B29-B18))&lt;0,0,B25-(B29-B18)*0.9)</f>
        <v>811.4</v>
      </c>
      <c r="C39" s="167">
        <f>IF(ISERROR(B39/SUM($B$32,$B$34,$B$35,$B$36,$B$38,$B$39)*100),0,B39/SUM($B$32,$B$34,$B$35,$B$36,$B$38,$B$39)*100)</f>
        <v>23.6835960303561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1448</v>
      </c>
      <c r="C44" s="34" t="s">
        <v>111</v>
      </c>
      <c r="D44" s="174"/>
    </row>
    <row r="45" spans="1:7">
      <c r="A45" s="171" t="s">
        <v>72</v>
      </c>
      <c r="B45" s="33" t="str">
        <f t="shared" si="0"/>
        <v>-</v>
      </c>
      <c r="C45" s="34" t="s">
        <v>111</v>
      </c>
      <c r="D45" s="174"/>
    </row>
    <row r="46" spans="1:7">
      <c r="A46" s="171" t="s">
        <v>73</v>
      </c>
      <c r="B46" s="33">
        <f t="shared" si="0"/>
        <v>142.80000000000001</v>
      </c>
      <c r="C46" s="34" t="s">
        <v>111</v>
      </c>
      <c r="D46" s="174"/>
    </row>
    <row r="47" spans="1:7">
      <c r="A47" s="171" t="s">
        <v>74</v>
      </c>
      <c r="B47" s="33">
        <f t="shared" si="0"/>
        <v>725.9</v>
      </c>
      <c r="C47" s="34" t="s">
        <v>111</v>
      </c>
      <c r="D47" s="174"/>
    </row>
    <row r="48" spans="1:7">
      <c r="A48" s="171" t="s">
        <v>75</v>
      </c>
      <c r="B48" s="33">
        <f t="shared" si="0"/>
        <v>219.3</v>
      </c>
      <c r="C48" s="33">
        <f>B48*10</f>
        <v>2193</v>
      </c>
      <c r="D48" s="234"/>
    </row>
    <row r="49" spans="1:6">
      <c r="A49" s="171" t="s">
        <v>76</v>
      </c>
      <c r="B49" s="33" t="str">
        <f t="shared" si="0"/>
        <v>-</v>
      </c>
      <c r="C49" s="34" t="s">
        <v>111</v>
      </c>
      <c r="D49" s="234"/>
    </row>
    <row r="50" spans="1:6">
      <c r="A50" s="171" t="s">
        <v>77</v>
      </c>
      <c r="B50" s="33">
        <f t="shared" si="0"/>
        <v>78.599999999999994</v>
      </c>
      <c r="C50" s="33">
        <f>B50*2</f>
        <v>157.19999999999999</v>
      </c>
      <c r="D50" s="234"/>
    </row>
    <row r="51" spans="1:6">
      <c r="A51" s="171" t="s">
        <v>78</v>
      </c>
      <c r="B51" s="33">
        <f t="shared" si="0"/>
        <v>811.4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7191.6583855261806</v>
      </c>
      <c r="C5" s="17">
        <f>IF(ISERROR('Eigen informatie GS &amp; warmtenet'!B58),0,'Eigen informatie GS &amp; warmtenet'!B58)</f>
        <v>0</v>
      </c>
      <c r="D5" s="30">
        <f>SUM(D6:D12)</f>
        <v>12538.773881576564</v>
      </c>
      <c r="E5" s="17">
        <f>SUM(E6:E12)</f>
        <v>113.41027222407342</v>
      </c>
      <c r="F5" s="17">
        <f>SUM(F6:F12)</f>
        <v>1384.7685514297118</v>
      </c>
      <c r="G5" s="18"/>
      <c r="H5" s="17"/>
      <c r="I5" s="17"/>
      <c r="J5" s="17">
        <f>SUM(J6:J12)</f>
        <v>4.094889055371749E-2</v>
      </c>
      <c r="K5" s="17"/>
      <c r="L5" s="17"/>
      <c r="M5" s="17"/>
      <c r="N5" s="17">
        <f>SUM(N6:N12)</f>
        <v>1611.1866640937628</v>
      </c>
      <c r="O5" s="17">
        <f>B38*B39*B40</f>
        <v>4.6900000000000004</v>
      </c>
      <c r="P5" s="17">
        <f>B46*B47*B48/1000-B46*B47*B48/1000/B49</f>
        <v>19.066666666666666</v>
      </c>
      <c r="R5" s="32"/>
    </row>
    <row r="6" spans="1:18">
      <c r="A6" s="32" t="s">
        <v>54</v>
      </c>
      <c r="B6" s="37">
        <f>B26</f>
        <v>949.88677834867303</v>
      </c>
      <c r="C6" s="33"/>
      <c r="D6" s="37">
        <f>IF(ISERROR(TER_kantoor_gas_kWh/1000),0,TER_kantoor_gas_kWh/1000)*0.902</f>
        <v>562.13404845366949</v>
      </c>
      <c r="E6" s="33">
        <f>$C$26*'E Balans VL '!I12/100/3.6*1000000</f>
        <v>5.9535743992964515E-3</v>
      </c>
      <c r="F6" s="33">
        <f>$C$26*('E Balans VL '!L12+'E Balans VL '!N12)/100/3.6*1000000</f>
        <v>142.74144041777299</v>
      </c>
      <c r="G6" s="34"/>
      <c r="H6" s="33"/>
      <c r="I6" s="33"/>
      <c r="J6" s="33">
        <f>$C$26*('E Balans VL '!D12+'E Balans VL '!E12)/100/3.6*1000000</f>
        <v>0</v>
      </c>
      <c r="K6" s="33"/>
      <c r="L6" s="33"/>
      <c r="M6" s="33"/>
      <c r="N6" s="33">
        <f>$C$26*'E Balans VL '!Y12/100/3.6*1000000</f>
        <v>0.90842586731966746</v>
      </c>
      <c r="O6" s="33"/>
      <c r="P6" s="33"/>
      <c r="R6" s="32"/>
    </row>
    <row r="7" spans="1:18">
      <c r="A7" s="32" t="s">
        <v>53</v>
      </c>
      <c r="B7" s="37">
        <f t="shared" ref="B7:B12" si="0">B27</f>
        <v>759.67528446804306</v>
      </c>
      <c r="C7" s="33"/>
      <c r="D7" s="37">
        <f>IF(ISERROR(TER_horeca_gas_kWh/1000),0,TER_horeca_gas_kWh/1000)*0.902</f>
        <v>994.77382741134238</v>
      </c>
      <c r="E7" s="33">
        <f>$C$27*'E Balans VL '!I9/100/3.6*1000000</f>
        <v>10.8784235358358</v>
      </c>
      <c r="F7" s="33">
        <f>$C$27*('E Balans VL '!L9+'E Balans VL '!N9)/100/3.6*1000000</f>
        <v>96.199946069803701</v>
      </c>
      <c r="G7" s="34"/>
      <c r="H7" s="33"/>
      <c r="I7" s="33"/>
      <c r="J7" s="33">
        <f>$C$27*('E Balans VL '!D9+'E Balans VL '!E9)/100/3.6*1000000</f>
        <v>0</v>
      </c>
      <c r="K7" s="33"/>
      <c r="L7" s="33"/>
      <c r="M7" s="33"/>
      <c r="N7" s="33">
        <f>$C$27*'E Balans VL '!Y9/100/3.6*1000000</f>
        <v>0.21838989488230295</v>
      </c>
      <c r="O7" s="33"/>
      <c r="P7" s="33"/>
      <c r="R7" s="32"/>
    </row>
    <row r="8" spans="1:18">
      <c r="A8" s="6" t="s">
        <v>52</v>
      </c>
      <c r="B8" s="37">
        <f t="shared" si="0"/>
        <v>2338.5292765724798</v>
      </c>
      <c r="C8" s="33"/>
      <c r="D8" s="37">
        <f>IF(ISERROR(TER_handel_gas_kWh/1000),0,TER_handel_gas_kWh/1000)*0.902</f>
        <v>519.30317250652013</v>
      </c>
      <c r="E8" s="33">
        <f>$C$28*'E Balans VL '!I13/100/3.6*1000000</f>
        <v>84.818168486773061</v>
      </c>
      <c r="F8" s="33">
        <f>$C$28*('E Balans VL '!L13+'E Balans VL '!N13)/100/3.6*1000000</f>
        <v>450.42441778225589</v>
      </c>
      <c r="G8" s="34"/>
      <c r="H8" s="33"/>
      <c r="I8" s="33"/>
      <c r="J8" s="33">
        <f>$C$28*('E Balans VL '!D13+'E Balans VL '!E13)/100/3.6*1000000</f>
        <v>0</v>
      </c>
      <c r="K8" s="33"/>
      <c r="L8" s="33"/>
      <c r="M8" s="33"/>
      <c r="N8" s="33">
        <f>$C$28*'E Balans VL '!Y13/100/3.6*1000000</f>
        <v>3.2394011196421495</v>
      </c>
      <c r="O8" s="33"/>
      <c r="P8" s="33"/>
      <c r="R8" s="32"/>
    </row>
    <row r="9" spans="1:18">
      <c r="A9" s="32" t="s">
        <v>51</v>
      </c>
      <c r="B9" s="37">
        <f t="shared" si="0"/>
        <v>141.821606081922</v>
      </c>
      <c r="C9" s="33"/>
      <c r="D9" s="37">
        <f>IF(ISERROR(TER_gezond_gas_kWh/1000),0,TER_gezond_gas_kWh/1000)*0.902</f>
        <v>86.406171119686434</v>
      </c>
      <c r="E9" s="33">
        <f>$C$29*'E Balans VL '!I10/100/3.6*1000000</f>
        <v>8.8794327761212277E-3</v>
      </c>
      <c r="F9" s="33">
        <f>$C$29*('E Balans VL '!L10+'E Balans VL '!N10)/100/3.6*1000000</f>
        <v>21.06803138913704</v>
      </c>
      <c r="G9" s="34"/>
      <c r="H9" s="33"/>
      <c r="I9" s="33"/>
      <c r="J9" s="33">
        <f>$C$29*('E Balans VL '!D10+'E Balans VL '!E10)/100/3.6*1000000</f>
        <v>0</v>
      </c>
      <c r="K9" s="33"/>
      <c r="L9" s="33"/>
      <c r="M9" s="33"/>
      <c r="N9" s="33">
        <f>$C$29*'E Balans VL '!Y10/100/3.6*1000000</f>
        <v>2.1937102874903935</v>
      </c>
      <c r="O9" s="33"/>
      <c r="P9" s="33"/>
      <c r="R9" s="32"/>
    </row>
    <row r="10" spans="1:18">
      <c r="A10" s="32" t="s">
        <v>50</v>
      </c>
      <c r="B10" s="37">
        <f t="shared" si="0"/>
        <v>1749.39218672789</v>
      </c>
      <c r="C10" s="33"/>
      <c r="D10" s="37">
        <f>IF(ISERROR(TER_ander_gas_kWh/1000),0,TER_ander_gas_kWh/1000)*0.902</f>
        <v>1316.0425937189298</v>
      </c>
      <c r="E10" s="33">
        <f>$C$30*'E Balans VL '!I14/100/3.6*1000000</f>
        <v>2.0852129738656839</v>
      </c>
      <c r="F10" s="33">
        <f>$C$30*('E Balans VL '!L14+'E Balans VL '!N14)/100/3.6*1000000</f>
        <v>457.71876791619104</v>
      </c>
      <c r="G10" s="34"/>
      <c r="H10" s="33"/>
      <c r="I10" s="33"/>
      <c r="J10" s="33">
        <f>$C$30*('E Balans VL '!D14+'E Balans VL '!E14)/100/3.6*1000000</f>
        <v>3.7972446945837547E-2</v>
      </c>
      <c r="K10" s="33"/>
      <c r="L10" s="33"/>
      <c r="M10" s="33"/>
      <c r="N10" s="33">
        <f>$C$30*'E Balans VL '!Y14/100/3.6*1000000</f>
        <v>1485.5410379450668</v>
      </c>
      <c r="O10" s="33"/>
      <c r="P10" s="33"/>
      <c r="R10" s="32"/>
    </row>
    <row r="11" spans="1:18">
      <c r="A11" s="32" t="s">
        <v>55</v>
      </c>
      <c r="B11" s="37">
        <f t="shared" si="0"/>
        <v>23.192572697752102</v>
      </c>
      <c r="C11" s="33"/>
      <c r="D11" s="37">
        <f>IF(ISERROR(TER_onderwijs_gas_kWh/1000),0,TER_onderwijs_gas_kWh/1000)*0.902</f>
        <v>0</v>
      </c>
      <c r="E11" s="33">
        <f>$C$31*'E Balans VL '!I11/100/3.6*1000000</f>
        <v>0.34993856681865582</v>
      </c>
      <c r="F11" s="33">
        <f>$C$31*('E Balans VL '!L11+'E Balans VL '!N11)/100/3.6*1000000</f>
        <v>4.0637092490176334</v>
      </c>
      <c r="G11" s="34"/>
      <c r="H11" s="33"/>
      <c r="I11" s="33"/>
      <c r="J11" s="33">
        <f>$C$31*('E Balans VL '!D11+'E Balans VL '!E11)/100/3.6*1000000</f>
        <v>0</v>
      </c>
      <c r="K11" s="33"/>
      <c r="L11" s="33"/>
      <c r="M11" s="33"/>
      <c r="N11" s="33">
        <f>$C$31*'E Balans VL '!Y11/100/3.6*1000000</f>
        <v>6.5265662737995569E-2</v>
      </c>
      <c r="O11" s="33"/>
      <c r="P11" s="33"/>
      <c r="R11" s="32"/>
    </row>
    <row r="12" spans="1:18">
      <c r="A12" s="32" t="s">
        <v>260</v>
      </c>
      <c r="B12" s="37">
        <f t="shared" si="0"/>
        <v>1229.1606806294201</v>
      </c>
      <c r="C12" s="33"/>
      <c r="D12" s="37">
        <f>IF(ISERROR(TER_rest_gas_kWh/1000),0,TER_rest_gas_kWh/1000)*0.902</f>
        <v>9060.1140683664162</v>
      </c>
      <c r="E12" s="33">
        <f>$C$32*'E Balans VL '!I8/100/3.6*1000000</f>
        <v>15.263695653604813</v>
      </c>
      <c r="F12" s="33">
        <f>$C$32*('E Balans VL '!L8+'E Balans VL '!N8)/100/3.6*1000000</f>
        <v>212.55223860553363</v>
      </c>
      <c r="G12" s="34"/>
      <c r="H12" s="33"/>
      <c r="I12" s="33"/>
      <c r="J12" s="33">
        <f>$C$32*('E Balans VL '!D8+'E Balans VL '!E8)/100/3.6*1000000</f>
        <v>2.9764436078799461E-3</v>
      </c>
      <c r="K12" s="33"/>
      <c r="L12" s="33"/>
      <c r="M12" s="33"/>
      <c r="N12" s="33">
        <f>$C$32*'E Balans VL '!Y8/100/3.6*1000000</f>
        <v>119.02043331662345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7191.6583855261806</v>
      </c>
      <c r="C16" s="21">
        <f t="shared" ca="1" si="1"/>
        <v>0</v>
      </c>
      <c r="D16" s="21">
        <f t="shared" ca="1" si="1"/>
        <v>12538.773881576564</v>
      </c>
      <c r="E16" s="21">
        <f t="shared" si="1"/>
        <v>113.41027222407342</v>
      </c>
      <c r="F16" s="21">
        <f t="shared" ca="1" si="1"/>
        <v>1384.7685514297118</v>
      </c>
      <c r="G16" s="21">
        <f t="shared" si="1"/>
        <v>0</v>
      </c>
      <c r="H16" s="21">
        <f t="shared" si="1"/>
        <v>0</v>
      </c>
      <c r="I16" s="21">
        <f t="shared" si="1"/>
        <v>0</v>
      </c>
      <c r="J16" s="21">
        <f t="shared" si="1"/>
        <v>4.094889055371749E-2</v>
      </c>
      <c r="K16" s="21">
        <f t="shared" si="1"/>
        <v>0</v>
      </c>
      <c r="L16" s="21">
        <f t="shared" ca="1" si="1"/>
        <v>0</v>
      </c>
      <c r="M16" s="21">
        <f t="shared" si="1"/>
        <v>0</v>
      </c>
      <c r="N16" s="21">
        <f t="shared" ca="1" si="1"/>
        <v>1611.1866640937628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0.20894798692580521</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1502.6825423137818</v>
      </c>
      <c r="C20" s="23">
        <f t="shared" ref="C20:P20" ca="1" si="2">C16*C18</f>
        <v>0</v>
      </c>
      <c r="D20" s="23">
        <f t="shared" ca="1" si="2"/>
        <v>2532.8323240784662</v>
      </c>
      <c r="E20" s="23">
        <f t="shared" si="2"/>
        <v>25.744131794864668</v>
      </c>
      <c r="F20" s="23">
        <f t="shared" ca="1" si="2"/>
        <v>369.73320323173306</v>
      </c>
      <c r="G20" s="23">
        <f t="shared" si="2"/>
        <v>0</v>
      </c>
      <c r="H20" s="23">
        <f t="shared" si="2"/>
        <v>0</v>
      </c>
      <c r="I20" s="23">
        <f t="shared" si="2"/>
        <v>0</v>
      </c>
      <c r="J20" s="23">
        <f t="shared" si="2"/>
        <v>1.449590725601599E-2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949.88677834867303</v>
      </c>
      <c r="C26" s="39">
        <f>IF(ISERROR(B26*3.6/1000000/'E Balans VL '!Z12*100),0,B26*3.6/1000000/'E Balans VL '!Z12*100)</f>
        <v>2.0079101752088387E-2</v>
      </c>
      <c r="D26" s="237" t="s">
        <v>754</v>
      </c>
      <c r="F26" s="6"/>
    </row>
    <row r="27" spans="1:18">
      <c r="A27" s="231" t="s">
        <v>53</v>
      </c>
      <c r="B27" s="33">
        <f>IF(ISERROR(TER_horeca_ele_kWh/1000),0,TER_horeca_ele_kWh/1000)</f>
        <v>759.67528446804306</v>
      </c>
      <c r="C27" s="39">
        <f>IF(ISERROR(B27*3.6/1000000/'E Balans VL '!Z9*100),0,B27*3.6/1000000/'E Balans VL '!Z9*100)</f>
        <v>5.9884919529182214E-2</v>
      </c>
      <c r="D27" s="237" t="s">
        <v>754</v>
      </c>
      <c r="F27" s="6"/>
    </row>
    <row r="28" spans="1:18">
      <c r="A28" s="171" t="s">
        <v>52</v>
      </c>
      <c r="B28" s="33">
        <f>IF(ISERROR(TER_handel_ele_kWh/1000),0,TER_handel_ele_kWh/1000)</f>
        <v>2338.5292765724798</v>
      </c>
      <c r="C28" s="39">
        <f>IF(ISERROR(B28*3.6/1000000/'E Balans VL '!Z13*100),0,B28*3.6/1000000/'E Balans VL '!Z13*100)</f>
        <v>6.7873568323197131E-2</v>
      </c>
      <c r="D28" s="237" t="s">
        <v>754</v>
      </c>
      <c r="F28" s="6"/>
    </row>
    <row r="29" spans="1:18">
      <c r="A29" s="231" t="s">
        <v>51</v>
      </c>
      <c r="B29" s="33">
        <f>IF(ISERROR(TER_gezond_ele_kWh/1000),0,TER_gezond_ele_kWh/1000)</f>
        <v>141.821606081922</v>
      </c>
      <c r="C29" s="39">
        <f>IF(ISERROR(B29*3.6/1000000/'E Balans VL '!Z10*100),0,B29*3.6/1000000/'E Balans VL '!Z10*100)</f>
        <v>1.4936143892668841E-2</v>
      </c>
      <c r="D29" s="237" t="s">
        <v>754</v>
      </c>
      <c r="F29" s="6"/>
    </row>
    <row r="30" spans="1:18">
      <c r="A30" s="231" t="s">
        <v>50</v>
      </c>
      <c r="B30" s="33">
        <f>IF(ISERROR(TER_ander_ele_kWh/1000),0,TER_ander_ele_kWh/1000)</f>
        <v>1749.39218672789</v>
      </c>
      <c r="C30" s="39">
        <f>IF(ISERROR(B30*3.6/1000000/'E Balans VL '!Z14*100),0,B30*3.6/1000000/'E Balans VL '!Z14*100)</f>
        <v>0.12903554765914205</v>
      </c>
      <c r="D30" s="237" t="s">
        <v>754</v>
      </c>
      <c r="F30" s="6"/>
    </row>
    <row r="31" spans="1:18">
      <c r="A31" s="231" t="s">
        <v>55</v>
      </c>
      <c r="B31" s="33">
        <f>IF(ISERROR(TER_onderwijs_ele_kWh/1000),0,TER_onderwijs_ele_kWh/1000)</f>
        <v>23.192572697752102</v>
      </c>
      <c r="C31" s="39">
        <f>IF(ISERROR(B31*3.6/1000000/'E Balans VL '!Z11*100),0,B31*3.6/1000000/'E Balans VL '!Z11*100)</f>
        <v>5.759802204937583E-3</v>
      </c>
      <c r="D31" s="237" t="s">
        <v>754</v>
      </c>
    </row>
    <row r="32" spans="1:18">
      <c r="A32" s="231" t="s">
        <v>260</v>
      </c>
      <c r="B32" s="33">
        <f>IF(ISERROR(TER_rest_ele_kWh/1000),0,TER_rest_ele_kWh/1000)</f>
        <v>1229.1606806294201</v>
      </c>
      <c r="C32" s="39">
        <f>IF(ISERROR(B32*3.6/1000000/'E Balans VL '!Z8*100),0,B32*3.6/1000000/'E Balans VL '!Z8*100)</f>
        <v>1.0114360856627442E-2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9698.4668534617849</v>
      </c>
      <c r="C5" s="17">
        <f>IF(ISERROR('Eigen informatie GS &amp; warmtenet'!B59),0,'Eigen informatie GS &amp; warmtenet'!B59)</f>
        <v>0</v>
      </c>
      <c r="D5" s="30">
        <f>SUM(D6:D15)</f>
        <v>1640.4829214269807</v>
      </c>
      <c r="E5" s="17">
        <f>SUM(E6:E15)</f>
        <v>351.32970015246724</v>
      </c>
      <c r="F5" s="17">
        <f>SUM(F6:F15)</f>
        <v>1316.2669954801406</v>
      </c>
      <c r="G5" s="18"/>
      <c r="H5" s="17"/>
      <c r="I5" s="17"/>
      <c r="J5" s="17">
        <f>SUM(J6:J15)</f>
        <v>2.0536886254800768</v>
      </c>
      <c r="K5" s="17"/>
      <c r="L5" s="17"/>
      <c r="M5" s="17"/>
      <c r="N5" s="17">
        <f>SUM(N6:N15)</f>
        <v>12085.668765746068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207.13660077553001</v>
      </c>
      <c r="C8" s="33"/>
      <c r="D8" s="37">
        <f>IF( ISERROR(IND_metaal_Gas_kWH/1000),0,IND_metaal_Gas_kWH/1000)*0.902</f>
        <v>0</v>
      </c>
      <c r="E8" s="33">
        <f>C30*'E Balans VL '!I18/100/3.6*1000000</f>
        <v>1.9044209896994462</v>
      </c>
      <c r="F8" s="33">
        <f>C30*'E Balans VL '!L18/100/3.6*1000000+C30*'E Balans VL '!N18/100/3.6*1000000</f>
        <v>19.422516877232272</v>
      </c>
      <c r="G8" s="34"/>
      <c r="H8" s="33"/>
      <c r="I8" s="33"/>
      <c r="J8" s="40">
        <f>C30*'E Balans VL '!D18/100/3.6*1000000+C30*'E Balans VL '!E18/100/3.6*1000000</f>
        <v>0</v>
      </c>
      <c r="K8" s="33"/>
      <c r="L8" s="33"/>
      <c r="M8" s="33"/>
      <c r="N8" s="33">
        <f>C30*'E Balans VL '!Y18/100/3.6*1000000</f>
        <v>2.9551459177106518</v>
      </c>
      <c r="O8" s="33"/>
      <c r="P8" s="33"/>
      <c r="R8" s="32"/>
    </row>
    <row r="9" spans="1:18">
      <c r="A9" s="6" t="s">
        <v>33</v>
      </c>
      <c r="B9" s="37">
        <f t="shared" si="0"/>
        <v>1070.1694251556798</v>
      </c>
      <c r="C9" s="33"/>
      <c r="D9" s="37">
        <f>IF( ISERROR(IND_andere_gas_kWh/1000),0,IND_andere_gas_kWh/1000)*0.902</f>
        <v>736.09491010102363</v>
      </c>
      <c r="E9" s="33">
        <f>C31*'E Balans VL '!I19/100/3.6*1000000</f>
        <v>312.83135671438737</v>
      </c>
      <c r="F9" s="33">
        <f>C31*'E Balans VL '!L19/100/3.6*1000000+C31*'E Balans VL '!N19/100/3.6*1000000</f>
        <v>859.96213749491085</v>
      </c>
      <c r="G9" s="34"/>
      <c r="H9" s="33"/>
      <c r="I9" s="33"/>
      <c r="J9" s="40">
        <f>C31*'E Balans VL '!D19/100/3.6*1000000+C31*'E Balans VL '!E19/100/3.6*1000000</f>
        <v>0</v>
      </c>
      <c r="K9" s="33"/>
      <c r="L9" s="33"/>
      <c r="M9" s="33"/>
      <c r="N9" s="33">
        <f>C31*'E Balans VL '!Y19/100/3.6*1000000</f>
        <v>353.60057522248178</v>
      </c>
      <c r="O9" s="33"/>
      <c r="P9" s="33"/>
      <c r="R9" s="32"/>
    </row>
    <row r="10" spans="1:18">
      <c r="A10" s="6" t="s">
        <v>41</v>
      </c>
      <c r="B10" s="37">
        <f t="shared" si="0"/>
        <v>4109.9686373197901</v>
      </c>
      <c r="C10" s="33"/>
      <c r="D10" s="37">
        <f>IF( ISERROR(IND_voed_gas_kWh/1000),0,IND_voed_gas_kWh/1000)*0.902</f>
        <v>398.67233873461606</v>
      </c>
      <c r="E10" s="33">
        <f>C32*'E Balans VL '!I20/100/3.6*1000000</f>
        <v>8.6947023780684969</v>
      </c>
      <c r="F10" s="33">
        <f>C32*'E Balans VL '!L20/100/3.6*1000000+C32*'E Balans VL '!N20/100/3.6*1000000</f>
        <v>261.3160041706447</v>
      </c>
      <c r="G10" s="34"/>
      <c r="H10" s="33"/>
      <c r="I10" s="33"/>
      <c r="J10" s="40">
        <f>C32*'E Balans VL '!D20/100/3.6*1000000+C32*'E Balans VL '!E20/100/3.6*1000000</f>
        <v>0</v>
      </c>
      <c r="K10" s="33"/>
      <c r="L10" s="33"/>
      <c r="M10" s="33"/>
      <c r="N10" s="33">
        <f>C32*'E Balans VL '!Y20/100/3.6*1000000</f>
        <v>283.62839413660032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3906.2893983019198</v>
      </c>
      <c r="C13" s="33"/>
      <c r="D13" s="37">
        <f>IF( ISERROR(IND_papier_gas_kWh/1000),0,IND_papier_gas_kWh/1000)*0.902</f>
        <v>0</v>
      </c>
      <c r="E13" s="33">
        <f>C35*'E Balans VL '!I23/100/3.6*1000000</f>
        <v>5.5421312947401793</v>
      </c>
      <c r="F13" s="33">
        <f>C35*'E Balans VL '!L23/100/3.6*1000000+C35*'E Balans VL '!N23/100/3.6*1000000</f>
        <v>95.367212807725963</v>
      </c>
      <c r="G13" s="34"/>
      <c r="H13" s="33"/>
      <c r="I13" s="33"/>
      <c r="J13" s="40">
        <f>C35*'E Balans VL '!D23/100/3.6*1000000+C35*'E Balans VL '!E23/100/3.6*1000000</f>
        <v>0.60414432992711253</v>
      </c>
      <c r="K13" s="33"/>
      <c r="L13" s="33"/>
      <c r="M13" s="33"/>
      <c r="N13" s="33">
        <f>C35*'E Balans VL '!Y23/100/3.6*1000000</f>
        <v>11354.658598649865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404.90279190886497</v>
      </c>
      <c r="C15" s="33"/>
      <c r="D15" s="37">
        <f>IF( ISERROR(IND_rest_gas_kWh/1000),0,IND_rest_gas_kWh/1000)*0.902</f>
        <v>505.71567259134093</v>
      </c>
      <c r="E15" s="33">
        <f>C37*'E Balans VL '!I15/100/3.6*1000000</f>
        <v>22.357088775571782</v>
      </c>
      <c r="F15" s="33">
        <f>C37*'E Balans VL '!L15/100/3.6*1000000+C37*'E Balans VL '!N15/100/3.6*1000000</f>
        <v>80.199124129626824</v>
      </c>
      <c r="G15" s="34"/>
      <c r="H15" s="33"/>
      <c r="I15" s="33"/>
      <c r="J15" s="40">
        <f>C37*'E Balans VL '!D15/100/3.6*1000000+C37*'E Balans VL '!E15/100/3.6*1000000</f>
        <v>1.4495442955529645</v>
      </c>
      <c r="K15" s="33"/>
      <c r="L15" s="33"/>
      <c r="M15" s="33"/>
      <c r="N15" s="33">
        <f>C37*'E Balans VL '!Y15/100/3.6*1000000</f>
        <v>90.826051819411333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9698.4668534617849</v>
      </c>
      <c r="C18" s="21">
        <f>C5+C16</f>
        <v>0</v>
      </c>
      <c r="D18" s="21">
        <f>MAX((D5+D16),0)</f>
        <v>1640.4829214269807</v>
      </c>
      <c r="E18" s="21">
        <f>MAX((E5+E16),0)</f>
        <v>351.32970015246724</v>
      </c>
      <c r="F18" s="21">
        <f>MAX((F5+F16),0)</f>
        <v>1316.2669954801406</v>
      </c>
      <c r="G18" s="21"/>
      <c r="H18" s="21"/>
      <c r="I18" s="21"/>
      <c r="J18" s="21">
        <f>MAX((J5+J16),0)</f>
        <v>2.0536886254800768</v>
      </c>
      <c r="K18" s="21"/>
      <c r="L18" s="21">
        <f>MAX((L5+L16),0)</f>
        <v>0</v>
      </c>
      <c r="M18" s="21"/>
      <c r="N18" s="21">
        <f>MAX((N5+N16),0)</f>
        <v>12085.668765746068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0.20894798692580521</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2026.4751252974881</v>
      </c>
      <c r="C22" s="23">
        <f ca="1">C18*C20</f>
        <v>0</v>
      </c>
      <c r="D22" s="23">
        <f>D18*D20</f>
        <v>331.37755012825011</v>
      </c>
      <c r="E22" s="23">
        <f>E18*E20</f>
        <v>79.75184193461007</v>
      </c>
      <c r="F22" s="23">
        <f>F18*F20</f>
        <v>351.44328779319756</v>
      </c>
      <c r="G22" s="23"/>
      <c r="H22" s="23"/>
      <c r="I22" s="23"/>
      <c r="J22" s="23">
        <f>J18*J20</f>
        <v>0.7270057734199471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207.13660077553001</v>
      </c>
      <c r="C30" s="39">
        <f>IF(ISERROR(B30*3.6/1000000/'E Balans VL '!Z18*100),0,B30*3.6/1000000/'E Balans VL '!Z18*100)</f>
        <v>1.1738962298932343E-2</v>
      </c>
      <c r="D30" s="237" t="s">
        <v>754</v>
      </c>
    </row>
    <row r="31" spans="1:18">
      <c r="A31" s="6" t="s">
        <v>33</v>
      </c>
      <c r="B31" s="37">
        <f>IF( ISERROR(IND_ander_ele_kWh/1000),0,IND_ander_ele_kWh/1000)</f>
        <v>1070.1694251556798</v>
      </c>
      <c r="C31" s="39">
        <f>IF(ISERROR(B31*3.6/1000000/'E Balans VL '!Z19*100),0,B31*3.6/1000000/'E Balans VL '!Z19*100)</f>
        <v>4.8538429017132484E-2</v>
      </c>
      <c r="D31" s="237" t="s">
        <v>754</v>
      </c>
    </row>
    <row r="32" spans="1:18">
      <c r="A32" s="171" t="s">
        <v>41</v>
      </c>
      <c r="B32" s="37">
        <f>IF( ISERROR(IND_voed_ele_kWh/1000),0,IND_voed_ele_kWh/1000)</f>
        <v>4109.9686373197901</v>
      </c>
      <c r="C32" s="39">
        <f>IF(ISERROR(B32*3.6/1000000/'E Balans VL '!Z20*100),0,B32*3.6/1000000/'E Balans VL '!Z20*100)</f>
        <v>0.12713998763454393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3906.2893983019198</v>
      </c>
      <c r="C35" s="39">
        <f>IF(ISERROR(B35*3.6/1000000/'E Balans VL '!Z22*100),0,B35*3.6/1000000/'E Balans VL '!Z22*100)</f>
        <v>0.70261958792891044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404.90279190886497</v>
      </c>
      <c r="C37" s="39">
        <f>IF(ISERROR(B37*3.6/1000000/'E Balans VL '!Z15*100),0,B37*3.6/1000000/'E Balans VL '!Z15*100)</f>
        <v>3.2093518937987915E-3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2186.8183985836795</v>
      </c>
      <c r="C5" s="17">
        <f>'Eigen informatie GS &amp; warmtenet'!B60</f>
        <v>0</v>
      </c>
      <c r="D5" s="30">
        <f>IF(ISERROR(SUM(LB_lb_gas_kWh,LB_rest_gas_kWh,onbekend_gas_kWh)/1000),0,SUM(LB_lb_gas_kWh,LB_rest_gas_kWh,onbekend_gas_kWh)/1000)*0.902</f>
        <v>491.54520685076528</v>
      </c>
      <c r="E5" s="17">
        <f>B17*'E Balans VL '!I25/3.6*1000000/100</f>
        <v>64.277272048700084</v>
      </c>
      <c r="F5" s="17">
        <f>B17*('E Balans VL '!L25/3.6*1000000+'E Balans VL '!N25/3.6*1000000)/100</f>
        <v>9110.1672790357898</v>
      </c>
      <c r="G5" s="18"/>
      <c r="H5" s="17"/>
      <c r="I5" s="17"/>
      <c r="J5" s="17">
        <f>('E Balans VL '!D25+'E Balans VL '!E25)/3.6*1000000*landbouw!B17/100</f>
        <v>316.82302349209158</v>
      </c>
      <c r="K5" s="17"/>
      <c r="L5" s="17">
        <f>L6*(-1)</f>
        <v>0</v>
      </c>
      <c r="M5" s="17"/>
      <c r="N5" s="17">
        <f>N6*(-1)</f>
        <v>124.71428571428569</v>
      </c>
      <c r="O5" s="17"/>
      <c r="P5" s="17"/>
      <c r="R5" s="32"/>
    </row>
    <row r="6" spans="1:18">
      <c r="A6" s="16" t="s">
        <v>488</v>
      </c>
      <c r="B6" s="17" t="s">
        <v>211</v>
      </c>
      <c r="C6" s="17">
        <f>'lokale energieproductie'!O91+'lokale energieproductie'!O60</f>
        <v>3694.4999999999991</v>
      </c>
      <c r="D6" s="310">
        <f>('lokale energieproductie'!P60+'lokale energieproductie'!P91)*(-1)</f>
        <v>-7264.2857142857138</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2186.8183985836795</v>
      </c>
      <c r="C8" s="21">
        <f>C5+C6</f>
        <v>3694.4999999999991</v>
      </c>
      <c r="D8" s="21">
        <f>MAX((D5+D6),0)</f>
        <v>0</v>
      </c>
      <c r="E8" s="21">
        <f>MAX((E5+E6),0)</f>
        <v>64.277272048700084</v>
      </c>
      <c r="F8" s="21">
        <f>MAX((F5+F6),0)</f>
        <v>9110.1672790357898</v>
      </c>
      <c r="G8" s="21"/>
      <c r="H8" s="21"/>
      <c r="I8" s="21"/>
      <c r="J8" s="21">
        <f>MAX((J5+J6),0)</f>
        <v>316.82302349209158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0.20894798692580521</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456.93130215637296</v>
      </c>
      <c r="C12" s="23">
        <f ca="1">C8*C10</f>
        <v>863.16806722689068</v>
      </c>
      <c r="D12" s="23">
        <f>D8*D10</f>
        <v>0</v>
      </c>
      <c r="E12" s="23">
        <f>E8*E10</f>
        <v>14.59094075505492</v>
      </c>
      <c r="F12" s="23">
        <f>F8*F10</f>
        <v>2432.4146635025559</v>
      </c>
      <c r="G12" s="23"/>
      <c r="H12" s="23"/>
      <c r="I12" s="23"/>
      <c r="J12" s="23">
        <f>J8*J10</f>
        <v>112.15535031620041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0.31031639169251257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450.3962347630532</v>
      </c>
      <c r="C26" s="247">
        <f>B26*'GWP N2O_CH4'!B5</f>
        <v>9458.3209300241178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242.35784221655149</v>
      </c>
      <c r="C27" s="247">
        <f>B27*'GWP N2O_CH4'!B5</f>
        <v>5089.5146865475817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6.5490628602064795</v>
      </c>
      <c r="C28" s="247">
        <f>B28*'GWP N2O_CH4'!B4</f>
        <v>2030.2094866640086</v>
      </c>
      <c r="D28" s="50"/>
    </row>
    <row r="29" spans="1:4">
      <c r="A29" s="41" t="s">
        <v>277</v>
      </c>
      <c r="B29" s="247">
        <f>B34*'ha_N2O bodem landbouw'!B4</f>
        <v>15.182702312865523</v>
      </c>
      <c r="C29" s="247">
        <f>B29*'GWP N2O_CH4'!B4</f>
        <v>4706.6377169883117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3.4646403458760927E-3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9.1033937764907916E-5</v>
      </c>
      <c r="C5" s="463" t="s">
        <v>211</v>
      </c>
      <c r="D5" s="448">
        <f>SUM(D6:D11)</f>
        <v>2.8961133904595749E-4</v>
      </c>
      <c r="E5" s="448">
        <f>SUM(E6:E11)</f>
        <v>3.9183021685828753E-4</v>
      </c>
      <c r="F5" s="461" t="s">
        <v>211</v>
      </c>
      <c r="G5" s="448">
        <f>SUM(G6:G11)</f>
        <v>0.15345815313684188</v>
      </c>
      <c r="H5" s="448">
        <f>SUM(H6:H11)</f>
        <v>3.2828872647737227E-2</v>
      </c>
      <c r="I5" s="463" t="s">
        <v>211</v>
      </c>
      <c r="J5" s="463" t="s">
        <v>211</v>
      </c>
      <c r="K5" s="463" t="s">
        <v>211</v>
      </c>
      <c r="L5" s="463" t="s">
        <v>211</v>
      </c>
      <c r="M5" s="448">
        <f>SUM(M6:M11)</f>
        <v>9.9402364977699744E-3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8.3936806187072209E-5</v>
      </c>
      <c r="C6" s="449"/>
      <c r="D6" s="962">
        <f>vkm_2011_GW_PW*SUMIFS(TableVerdeelsleutelVkm[CNG],TableVerdeelsleutelVkm[Voertuigtype],"Lichte voertuigen")*SUMIFS(TableECFTransport[EnergieConsumptieFactor (PJ per km)],TableECFTransport[Index],CONCATENATE($A6,"_CNG_CNG"))</f>
        <v>2.5176224321654217E-4</v>
      </c>
      <c r="E6" s="962">
        <f>vkm_2011_GW_PW*SUMIFS(TableVerdeelsleutelVkm[LPG],TableVerdeelsleutelVkm[Voertuigtype],"Lichte voertuigen")*SUMIFS(TableECFTransport[EnergieConsumptieFactor (PJ per km)],TableECFTransport[Index],CONCATENATE($A6,"_LPG_LPG"))</f>
        <v>3.4394338809779786E-4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8.8927993552124648E-2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2.8630049802262785E-2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6.0453117883061671E-3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5.2286615072989741E-2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1.5933110515761759E-5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3.0554561671283522E-3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7.0971315778357071E-6</v>
      </c>
      <c r="C8" s="449"/>
      <c r="D8" s="451">
        <f>vkm_2011_NGW_PW*SUMIFS(TableVerdeelsleutelVkm[CNG],TableVerdeelsleutelVkm[Voertuigtype],"Lichte voertuigen")*SUMIFS(TableECFTransport[EnergieConsumptieFactor (PJ per km)],TableECFTransport[Index],CONCATENATE($A8,"_CNG_CNG"))</f>
        <v>3.7849095829415315E-5</v>
      </c>
      <c r="E8" s="451">
        <f>vkm_2011_NGW_PW*SUMIFS(TableVerdeelsleutelVkm[LPG],TableVerdeelsleutelVkm[Voertuigtype],"Lichte voertuigen")*SUMIFS(TableECFTransport[EnergieConsumptieFactor (PJ per km)],TableECFTransport[Index],CONCATENATE($A8,"_LPG_LPG"))</f>
        <v>4.7886828760489653E-5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1.1538097663844952E-2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4.1826873609239999E-3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7.9824494465496529E-4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7.0544684788252871E-4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2.023740346749081E-7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4.1223597680490238E-5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25.287204934696643</v>
      </c>
      <c r="C14" s="21"/>
      <c r="D14" s="21">
        <f t="shared" ref="D14:M14" si="0">((D5)*10^9/3600)+D12</f>
        <v>80.447594179432642</v>
      </c>
      <c r="E14" s="21">
        <f t="shared" si="0"/>
        <v>108.84172690507987</v>
      </c>
      <c r="F14" s="21"/>
      <c r="G14" s="21">
        <f t="shared" si="0"/>
        <v>42627.264760233862</v>
      </c>
      <c r="H14" s="21">
        <f t="shared" si="0"/>
        <v>9119.1312910381184</v>
      </c>
      <c r="I14" s="21"/>
      <c r="J14" s="21"/>
      <c r="K14" s="21"/>
      <c r="L14" s="21"/>
      <c r="M14" s="21">
        <f t="shared" si="0"/>
        <v>2761.176804936104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0.20894798692580521</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5.2837105660851513</v>
      </c>
      <c r="C18" s="23"/>
      <c r="D18" s="23">
        <f t="shared" ref="D18:M18" si="1">D14*D16</f>
        <v>16.250414024245394</v>
      </c>
      <c r="E18" s="23">
        <f t="shared" si="1"/>
        <v>24.707072007453132</v>
      </c>
      <c r="F18" s="23"/>
      <c r="G18" s="23">
        <f t="shared" si="1"/>
        <v>11381.479690982442</v>
      </c>
      <c r="H18" s="23">
        <f t="shared" si="1"/>
        <v>2270.6636914684914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1.8665453025651783E-3</v>
      </c>
      <c r="H50" s="321">
        <f t="shared" si="2"/>
        <v>0</v>
      </c>
      <c r="I50" s="321">
        <f t="shared" si="2"/>
        <v>0</v>
      </c>
      <c r="J50" s="321">
        <f t="shared" si="2"/>
        <v>0</v>
      </c>
      <c r="K50" s="321">
        <f t="shared" si="2"/>
        <v>0</v>
      </c>
      <c r="L50" s="321">
        <f t="shared" si="2"/>
        <v>0</v>
      </c>
      <c r="M50" s="321">
        <f t="shared" si="2"/>
        <v>1.0601153317888869E-4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1.8665453025651783E-3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1.0601153317888869E-4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518.4848062681051</v>
      </c>
      <c r="H54" s="21">
        <f t="shared" si="3"/>
        <v>0</v>
      </c>
      <c r="I54" s="21">
        <f t="shared" si="3"/>
        <v>0</v>
      </c>
      <c r="J54" s="21">
        <f t="shared" si="3"/>
        <v>0</v>
      </c>
      <c r="K54" s="21">
        <f t="shared" si="3"/>
        <v>0</v>
      </c>
      <c r="L54" s="21">
        <f t="shared" si="3"/>
        <v>0</v>
      </c>
      <c r="M54" s="21">
        <f t="shared" si="3"/>
        <v>29.447648105246859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0.20894798692580521</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138.43544327358407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2120.8854738161344</v>
      </c>
      <c r="C6" s="1204"/>
      <c r="D6" s="1189"/>
      <c r="E6" s="1189"/>
      <c r="F6" s="1207"/>
      <c r="G6" s="1210"/>
      <c r="H6" s="1201"/>
      <c r="I6" s="1189"/>
      <c r="J6" s="1189"/>
      <c r="K6" s="1189"/>
      <c r="L6" s="1193"/>
      <c r="M6" s="575"/>
      <c r="N6" s="1167"/>
      <c r="O6" s="1168"/>
      <c r="Q6" s="573"/>
      <c r="R6" s="1155"/>
      <c r="S6" s="1155"/>
    </row>
    <row r="7" spans="1:19" s="563" customFormat="1">
      <c r="A7" s="576" t="s">
        <v>252</v>
      </c>
      <c r="B7" s="577">
        <f>N57</f>
        <v>2586.1499999999996</v>
      </c>
      <c r="C7" s="578">
        <f>B100</f>
        <v>2991.1764705882351</v>
      </c>
      <c r="D7" s="579"/>
      <c r="E7" s="579">
        <f>E100</f>
        <v>0</v>
      </c>
      <c r="F7" s="580"/>
      <c r="G7" s="581"/>
      <c r="H7" s="579">
        <f>I100</f>
        <v>0</v>
      </c>
      <c r="I7" s="579">
        <f>G100+F100</f>
        <v>0</v>
      </c>
      <c r="J7" s="579">
        <f>H100+D100+C100</f>
        <v>51.352941176470587</v>
      </c>
      <c r="K7" s="579"/>
      <c r="L7" s="582"/>
      <c r="M7" s="583">
        <f>C7*$C$11+D7*$D$11+E7*$E$11+F7*$F$11+G7*$G$11+H7*$H$11+I7*$I$11+J7*$J$11</f>
        <v>604.21764705882356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4707.0354738161341</v>
      </c>
      <c r="C9" s="594">
        <f t="shared" ref="C9:L9" si="0">SUM(C7:C8)</f>
        <v>2991.1764705882351</v>
      </c>
      <c r="D9" s="594">
        <f t="shared" si="0"/>
        <v>0</v>
      </c>
      <c r="E9" s="594">
        <f t="shared" si="0"/>
        <v>0</v>
      </c>
      <c r="F9" s="594">
        <f t="shared" si="0"/>
        <v>0</v>
      </c>
      <c r="G9" s="594">
        <f t="shared" si="0"/>
        <v>0</v>
      </c>
      <c r="H9" s="594">
        <f t="shared" si="0"/>
        <v>0</v>
      </c>
      <c r="I9" s="594">
        <f t="shared" si="0"/>
        <v>0</v>
      </c>
      <c r="J9" s="594">
        <f t="shared" si="0"/>
        <v>51.352941176470587</v>
      </c>
      <c r="K9" s="594">
        <f t="shared" si="0"/>
        <v>0</v>
      </c>
      <c r="L9" s="594">
        <f t="shared" si="0"/>
        <v>0</v>
      </c>
      <c r="M9" s="595">
        <f>SUM(M4:M8)</f>
        <v>604.21764705882356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3694.4999999999991</v>
      </c>
      <c r="C16" s="610">
        <f>B101</f>
        <v>4273.1092436974786</v>
      </c>
      <c r="D16" s="611"/>
      <c r="E16" s="611">
        <f>E101</f>
        <v>0</v>
      </c>
      <c r="F16" s="612"/>
      <c r="G16" s="613"/>
      <c r="H16" s="610">
        <f>I101</f>
        <v>0</v>
      </c>
      <c r="I16" s="611">
        <f>G101+F101</f>
        <v>0</v>
      </c>
      <c r="J16" s="611">
        <f>H101+D101+C101</f>
        <v>73.361344537815114</v>
      </c>
      <c r="K16" s="611"/>
      <c r="L16" s="614"/>
      <c r="M16" s="615">
        <f>C16*$C$21+E16*$E$21+H16*$H$21+I16*$I$21+J16*$J$21+D16*$D$21+F16*$F$21+G16*$G$21+K16*$K$21+L16*$L$21</f>
        <v>863.16806722689068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3694.4999999999991</v>
      </c>
      <c r="C19" s="593">
        <f>SUM(C16:C18)</f>
        <v>4273.1092436974786</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863.16806722689068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44029</v>
      </c>
      <c r="C27" s="851">
        <v>9910</v>
      </c>
      <c r="D27" s="672" t="s">
        <v>809</v>
      </c>
      <c r="E27" s="671" t="s">
        <v>810</v>
      </c>
      <c r="F27" s="671" t="s">
        <v>811</v>
      </c>
      <c r="G27" s="671" t="s">
        <v>812</v>
      </c>
      <c r="H27" s="671" t="s">
        <v>813</v>
      </c>
      <c r="I27" s="671" t="s">
        <v>810</v>
      </c>
      <c r="J27" s="850">
        <v>41117</v>
      </c>
      <c r="K27" s="850">
        <v>41214</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44029</v>
      </c>
      <c r="C28" s="851">
        <v>9910</v>
      </c>
      <c r="D28" s="672" t="s">
        <v>815</v>
      </c>
      <c r="E28" s="671" t="s">
        <v>816</v>
      </c>
      <c r="F28" s="671" t="s">
        <v>817</v>
      </c>
      <c r="G28" s="671" t="s">
        <v>812</v>
      </c>
      <c r="H28" s="671" t="s">
        <v>813</v>
      </c>
      <c r="I28" s="671" t="s">
        <v>816</v>
      </c>
      <c r="J28" s="850">
        <v>41599</v>
      </c>
      <c r="K28" s="850">
        <v>41599</v>
      </c>
      <c r="L28" s="671" t="s">
        <v>814</v>
      </c>
      <c r="M28" s="671">
        <v>565</v>
      </c>
      <c r="N28" s="671">
        <v>2542.4999999999995</v>
      </c>
      <c r="O28" s="671">
        <v>3632.1428571428564</v>
      </c>
      <c r="P28" s="671">
        <v>7264.2857142857138</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574.70000000000005</v>
      </c>
      <c r="N57" s="629">
        <f>SUM(N27:N56)</f>
        <v>2586.1499999999996</v>
      </c>
      <c r="O57" s="629">
        <f t="shared" ref="O57:W57" si="2">SUM(O27:O56)</f>
        <v>3694.4999999999991</v>
      </c>
      <c r="P57" s="629">
        <f t="shared" si="2"/>
        <v>7264.2857142857138</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574.70000000000005</v>
      </c>
      <c r="N60" s="634">
        <f t="shared" ref="N60:W60" si="4">SUMIF($Z$27:$Z$56,"landbouw",N27:N56)</f>
        <v>2586.1499999999996</v>
      </c>
      <c r="O60" s="634">
        <f t="shared" si="4"/>
        <v>3694.4999999999991</v>
      </c>
      <c r="P60" s="634">
        <f t="shared" si="4"/>
        <v>7264.2857142857138</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2991.1764705882351</v>
      </c>
      <c r="C100" s="663">
        <f t="shared" si="9"/>
        <v>51.352941176470587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4273.1092436974786</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7801.1923855261803</v>
      </c>
      <c r="D10" s="718">
        <f ca="1">tertiair!C16</f>
        <v>0</v>
      </c>
      <c r="E10" s="718">
        <f ca="1">tertiair!D16</f>
        <v>12538.773881576564</v>
      </c>
      <c r="F10" s="718">
        <f>tertiair!E16</f>
        <v>113.41027222407342</v>
      </c>
      <c r="G10" s="718">
        <f ca="1">tertiair!F16</f>
        <v>1384.7685514297118</v>
      </c>
      <c r="H10" s="718">
        <f>tertiair!G16</f>
        <v>0</v>
      </c>
      <c r="I10" s="718">
        <f>tertiair!H16</f>
        <v>0</v>
      </c>
      <c r="J10" s="718">
        <f>tertiair!I16</f>
        <v>0</v>
      </c>
      <c r="K10" s="718">
        <f>tertiair!J16</f>
        <v>4.094889055371749E-2</v>
      </c>
      <c r="L10" s="718">
        <f>tertiair!K16</f>
        <v>0</v>
      </c>
      <c r="M10" s="718">
        <f ca="1">tertiair!L16</f>
        <v>0</v>
      </c>
      <c r="N10" s="718">
        <f>tertiair!M16</f>
        <v>0</v>
      </c>
      <c r="O10" s="718">
        <f ca="1">tertiair!N16</f>
        <v>1611.1866640937628</v>
      </c>
      <c r="P10" s="718">
        <f>tertiair!O16</f>
        <v>4.6900000000000004</v>
      </c>
      <c r="Q10" s="719">
        <f>tertiair!P16</f>
        <v>19.066666666666666</v>
      </c>
      <c r="R10" s="721">
        <f ca="1">SUM(C10:Q10)</f>
        <v>23473.129370407511</v>
      </c>
      <c r="S10" s="67"/>
    </row>
    <row r="11" spans="1:19" s="474" customFormat="1">
      <c r="A11" s="870" t="s">
        <v>225</v>
      </c>
      <c r="B11" s="875"/>
      <c r="C11" s="718">
        <f>huishoudens!B8</f>
        <v>16467.850128884987</v>
      </c>
      <c r="D11" s="718">
        <f>huishoudens!C8</f>
        <v>0</v>
      </c>
      <c r="E11" s="718">
        <f>huishoudens!D8</f>
        <v>20301.199690402136</v>
      </c>
      <c r="F11" s="718">
        <f>huishoudens!E8</f>
        <v>3023.5664309453468</v>
      </c>
      <c r="G11" s="718">
        <f>huishoudens!F8</f>
        <v>21005.755780908021</v>
      </c>
      <c r="H11" s="718">
        <f>huishoudens!G8</f>
        <v>0</v>
      </c>
      <c r="I11" s="718">
        <f>huishoudens!H8</f>
        <v>0</v>
      </c>
      <c r="J11" s="718">
        <f>huishoudens!I8</f>
        <v>0</v>
      </c>
      <c r="K11" s="718">
        <f>huishoudens!J8</f>
        <v>2771.461699648828</v>
      </c>
      <c r="L11" s="718">
        <f>huishoudens!K8</f>
        <v>0</v>
      </c>
      <c r="M11" s="718">
        <f>huishoudens!L8</f>
        <v>0</v>
      </c>
      <c r="N11" s="718">
        <f>huishoudens!M8</f>
        <v>0</v>
      </c>
      <c r="O11" s="718">
        <f>huishoudens!N8</f>
        <v>15824.230752537249</v>
      </c>
      <c r="P11" s="718">
        <f>huishoudens!O8</f>
        <v>201.67000000000004</v>
      </c>
      <c r="Q11" s="719">
        <f>huishoudens!P8</f>
        <v>381.33333333333337</v>
      </c>
      <c r="R11" s="721">
        <f>SUM(C11:Q11)</f>
        <v>79977.067816659895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9698.4668534617849</v>
      </c>
      <c r="D13" s="718">
        <f>industrie!C18</f>
        <v>0</v>
      </c>
      <c r="E13" s="718">
        <f>industrie!D18</f>
        <v>1640.4829214269807</v>
      </c>
      <c r="F13" s="718">
        <f>industrie!E18</f>
        <v>351.32970015246724</v>
      </c>
      <c r="G13" s="718">
        <f>industrie!F18</f>
        <v>1316.2669954801406</v>
      </c>
      <c r="H13" s="718">
        <f>industrie!G18</f>
        <v>0</v>
      </c>
      <c r="I13" s="718">
        <f>industrie!H18</f>
        <v>0</v>
      </c>
      <c r="J13" s="718">
        <f>industrie!I18</f>
        <v>0</v>
      </c>
      <c r="K13" s="718">
        <f>industrie!J18</f>
        <v>2.0536886254800768</v>
      </c>
      <c r="L13" s="718">
        <f>industrie!K18</f>
        <v>0</v>
      </c>
      <c r="M13" s="718">
        <f>industrie!L18</f>
        <v>0</v>
      </c>
      <c r="N13" s="718">
        <f>industrie!M18</f>
        <v>0</v>
      </c>
      <c r="O13" s="718">
        <f>industrie!N18</f>
        <v>12085.668765746068</v>
      </c>
      <c r="P13" s="718">
        <f>industrie!O18</f>
        <v>0</v>
      </c>
      <c r="Q13" s="719">
        <f>industrie!P18</f>
        <v>0</v>
      </c>
      <c r="R13" s="721">
        <f>SUM(C13:Q13)</f>
        <v>25094.268924892924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33967.509367872954</v>
      </c>
      <c r="D15" s="723">
        <f t="shared" ref="D15:Q15" ca="1" si="0">SUM(D9:D14)</f>
        <v>0</v>
      </c>
      <c r="E15" s="723">
        <f t="shared" ca="1" si="0"/>
        <v>34480.456493405676</v>
      </c>
      <c r="F15" s="723">
        <f t="shared" si="0"/>
        <v>3488.306403321887</v>
      </c>
      <c r="G15" s="723">
        <f t="shared" ca="1" si="0"/>
        <v>23706.791327817875</v>
      </c>
      <c r="H15" s="723">
        <f t="shared" si="0"/>
        <v>0</v>
      </c>
      <c r="I15" s="723">
        <f t="shared" si="0"/>
        <v>0</v>
      </c>
      <c r="J15" s="723">
        <f t="shared" si="0"/>
        <v>0</v>
      </c>
      <c r="K15" s="723">
        <f t="shared" si="0"/>
        <v>2773.5563371648618</v>
      </c>
      <c r="L15" s="723">
        <f t="shared" si="0"/>
        <v>0</v>
      </c>
      <c r="M15" s="723">
        <f t="shared" ca="1" si="0"/>
        <v>0</v>
      </c>
      <c r="N15" s="723">
        <f t="shared" si="0"/>
        <v>0</v>
      </c>
      <c r="O15" s="723">
        <f t="shared" ca="1" si="0"/>
        <v>29521.086182377079</v>
      </c>
      <c r="P15" s="723">
        <f t="shared" si="0"/>
        <v>206.36000000000004</v>
      </c>
      <c r="Q15" s="724">
        <f t="shared" si="0"/>
        <v>400.40000000000003</v>
      </c>
      <c r="R15" s="725">
        <f ca="1">SUM(R9:R14)</f>
        <v>128544.46611196033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518.4848062681051</v>
      </c>
      <c r="I18" s="718">
        <f>transport!H54</f>
        <v>0</v>
      </c>
      <c r="J18" s="718">
        <f>transport!I54</f>
        <v>0</v>
      </c>
      <c r="K18" s="718">
        <f>transport!J54</f>
        <v>0</v>
      </c>
      <c r="L18" s="718">
        <f>transport!K54</f>
        <v>0</v>
      </c>
      <c r="M18" s="718">
        <f>transport!L54</f>
        <v>0</v>
      </c>
      <c r="N18" s="718">
        <f>transport!M54</f>
        <v>29.447648105246859</v>
      </c>
      <c r="O18" s="718">
        <f>transport!N54</f>
        <v>0</v>
      </c>
      <c r="P18" s="718">
        <f>transport!O54</f>
        <v>0</v>
      </c>
      <c r="Q18" s="719">
        <f>transport!P54</f>
        <v>0</v>
      </c>
      <c r="R18" s="721">
        <f>SUM(C18:Q18)</f>
        <v>547.93245437335202</v>
      </c>
      <c r="S18" s="67"/>
    </row>
    <row r="19" spans="1:19" s="474" customFormat="1" ht="15" thickBot="1">
      <c r="A19" s="870" t="s">
        <v>307</v>
      </c>
      <c r="B19" s="875"/>
      <c r="C19" s="727">
        <f>transport!B14</f>
        <v>25.287204934696643</v>
      </c>
      <c r="D19" s="727">
        <f>transport!C14</f>
        <v>0</v>
      </c>
      <c r="E19" s="727">
        <f>transport!D14</f>
        <v>80.447594179432642</v>
      </c>
      <c r="F19" s="727">
        <f>transport!E14</f>
        <v>108.84172690507987</v>
      </c>
      <c r="G19" s="727">
        <f>transport!F14</f>
        <v>0</v>
      </c>
      <c r="H19" s="727">
        <f>transport!G14</f>
        <v>42627.264760233862</v>
      </c>
      <c r="I19" s="727">
        <f>transport!H14</f>
        <v>9119.1312910381184</v>
      </c>
      <c r="J19" s="727">
        <f>transport!I14</f>
        <v>0</v>
      </c>
      <c r="K19" s="727">
        <f>transport!J14</f>
        <v>0</v>
      </c>
      <c r="L19" s="727">
        <f>transport!K14</f>
        <v>0</v>
      </c>
      <c r="M19" s="727">
        <f>transport!L14</f>
        <v>0</v>
      </c>
      <c r="N19" s="727">
        <f>transport!M14</f>
        <v>2761.176804936104</v>
      </c>
      <c r="O19" s="727">
        <f>transport!N14</f>
        <v>0</v>
      </c>
      <c r="P19" s="727">
        <f>transport!O14</f>
        <v>0</v>
      </c>
      <c r="Q19" s="728">
        <f>transport!P14</f>
        <v>0</v>
      </c>
      <c r="R19" s="729">
        <f>SUM(C19:Q19)</f>
        <v>54722.14938222729</v>
      </c>
      <c r="S19" s="67"/>
    </row>
    <row r="20" spans="1:19" s="474" customFormat="1" ht="15.75" thickBot="1">
      <c r="A20" s="730" t="s">
        <v>230</v>
      </c>
      <c r="B20" s="878"/>
      <c r="C20" s="873">
        <f>SUM(C17:C19)</f>
        <v>25.287204934696643</v>
      </c>
      <c r="D20" s="731">
        <f t="shared" ref="D20:R20" si="1">SUM(D17:D19)</f>
        <v>0</v>
      </c>
      <c r="E20" s="731">
        <f t="shared" si="1"/>
        <v>80.447594179432642</v>
      </c>
      <c r="F20" s="731">
        <f t="shared" si="1"/>
        <v>108.84172690507987</v>
      </c>
      <c r="G20" s="731">
        <f t="shared" si="1"/>
        <v>0</v>
      </c>
      <c r="H20" s="731">
        <f t="shared" si="1"/>
        <v>43145.749566501967</v>
      </c>
      <c r="I20" s="731">
        <f t="shared" si="1"/>
        <v>9119.1312910381184</v>
      </c>
      <c r="J20" s="731">
        <f t="shared" si="1"/>
        <v>0</v>
      </c>
      <c r="K20" s="731">
        <f t="shared" si="1"/>
        <v>0</v>
      </c>
      <c r="L20" s="731">
        <f t="shared" si="1"/>
        <v>0</v>
      </c>
      <c r="M20" s="731">
        <f t="shared" si="1"/>
        <v>0</v>
      </c>
      <c r="N20" s="731">
        <f t="shared" si="1"/>
        <v>2790.624453041351</v>
      </c>
      <c r="O20" s="731">
        <f t="shared" si="1"/>
        <v>0</v>
      </c>
      <c r="P20" s="731">
        <f t="shared" si="1"/>
        <v>0</v>
      </c>
      <c r="Q20" s="732">
        <f t="shared" si="1"/>
        <v>0</v>
      </c>
      <c r="R20" s="733">
        <f t="shared" si="1"/>
        <v>55270.081836600642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2186.8183985836795</v>
      </c>
      <c r="D22" s="727">
        <f>+landbouw!C8</f>
        <v>3694.4999999999991</v>
      </c>
      <c r="E22" s="727">
        <f>+landbouw!D8</f>
        <v>0</v>
      </c>
      <c r="F22" s="727">
        <f>+landbouw!E8</f>
        <v>64.277272048700084</v>
      </c>
      <c r="G22" s="727">
        <f>+landbouw!F8</f>
        <v>9110.1672790357898</v>
      </c>
      <c r="H22" s="727">
        <f>+landbouw!G8</f>
        <v>0</v>
      </c>
      <c r="I22" s="727">
        <f>+landbouw!H8</f>
        <v>0</v>
      </c>
      <c r="J22" s="727">
        <f>+landbouw!I8</f>
        <v>0</v>
      </c>
      <c r="K22" s="727">
        <f>+landbouw!J8</f>
        <v>316.82302349209158</v>
      </c>
      <c r="L22" s="727">
        <f>+landbouw!K8</f>
        <v>0</v>
      </c>
      <c r="M22" s="727">
        <f>+landbouw!L8</f>
        <v>0</v>
      </c>
      <c r="N22" s="727">
        <f>+landbouw!M8</f>
        <v>0</v>
      </c>
      <c r="O22" s="727">
        <f>+landbouw!N8</f>
        <v>0</v>
      </c>
      <c r="P22" s="727">
        <f>+landbouw!O8</f>
        <v>0</v>
      </c>
      <c r="Q22" s="728">
        <f>+landbouw!P8</f>
        <v>0</v>
      </c>
      <c r="R22" s="729">
        <f>SUM(C22:Q22)</f>
        <v>15372.585973160261</v>
      </c>
      <c r="S22" s="67"/>
    </row>
    <row r="23" spans="1:19" s="474" customFormat="1" ht="17.25" thickTop="1" thickBot="1">
      <c r="A23" s="734" t="s">
        <v>116</v>
      </c>
      <c r="B23" s="864"/>
      <c r="C23" s="735">
        <f ca="1">C20+C15+C22</f>
        <v>36179.614971391333</v>
      </c>
      <c r="D23" s="735">
        <f t="shared" ref="D23:Q23" ca="1" si="2">D20+D15+D22</f>
        <v>3694.4999999999991</v>
      </c>
      <c r="E23" s="735">
        <f t="shared" ca="1" si="2"/>
        <v>34560.904087585106</v>
      </c>
      <c r="F23" s="735">
        <f t="shared" si="2"/>
        <v>3661.4254022756668</v>
      </c>
      <c r="G23" s="735">
        <f t="shared" ca="1" si="2"/>
        <v>32816.958606853666</v>
      </c>
      <c r="H23" s="735">
        <f t="shared" si="2"/>
        <v>43145.749566501967</v>
      </c>
      <c r="I23" s="735">
        <f t="shared" si="2"/>
        <v>9119.1312910381184</v>
      </c>
      <c r="J23" s="735">
        <f t="shared" si="2"/>
        <v>0</v>
      </c>
      <c r="K23" s="735">
        <f t="shared" si="2"/>
        <v>3090.3793606569534</v>
      </c>
      <c r="L23" s="735">
        <f t="shared" si="2"/>
        <v>0</v>
      </c>
      <c r="M23" s="735">
        <f t="shared" ca="1" si="2"/>
        <v>0</v>
      </c>
      <c r="N23" s="735">
        <f t="shared" si="2"/>
        <v>2790.624453041351</v>
      </c>
      <c r="O23" s="735">
        <f t="shared" ca="1" si="2"/>
        <v>29521.086182377079</v>
      </c>
      <c r="P23" s="735">
        <f t="shared" si="2"/>
        <v>206.36000000000004</v>
      </c>
      <c r="Q23" s="736">
        <f t="shared" si="2"/>
        <v>400.40000000000003</v>
      </c>
      <c r="R23" s="737">
        <f ca="1">R20+R15+R22</f>
        <v>199187.13392172122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1630.0434445766155</v>
      </c>
      <c r="D36" s="718">
        <f ca="1">tertiair!C20</f>
        <v>0</v>
      </c>
      <c r="E36" s="718">
        <f ca="1">tertiair!D20</f>
        <v>2532.8323240784662</v>
      </c>
      <c r="F36" s="718">
        <f>tertiair!E20</f>
        <v>25.744131794864668</v>
      </c>
      <c r="G36" s="718">
        <f ca="1">tertiair!F20</f>
        <v>369.73320323173306</v>
      </c>
      <c r="H36" s="718">
        <f>tertiair!G20</f>
        <v>0</v>
      </c>
      <c r="I36" s="718">
        <f>tertiair!H20</f>
        <v>0</v>
      </c>
      <c r="J36" s="718">
        <f>tertiair!I20</f>
        <v>0</v>
      </c>
      <c r="K36" s="718">
        <f>tertiair!J20</f>
        <v>1.449590725601599E-2</v>
      </c>
      <c r="L36" s="718">
        <f>tertiair!K20</f>
        <v>0</v>
      </c>
      <c r="M36" s="718">
        <f ca="1">tertiair!L20</f>
        <v>0</v>
      </c>
      <c r="N36" s="718">
        <f>tertiair!M20</f>
        <v>0</v>
      </c>
      <c r="O36" s="718">
        <f ca="1">tertiair!N20</f>
        <v>0</v>
      </c>
      <c r="P36" s="718">
        <f>tertiair!O20</f>
        <v>0</v>
      </c>
      <c r="Q36" s="828">
        <f>tertiair!P20</f>
        <v>0</v>
      </c>
      <c r="R36" s="917">
        <f ca="1">SUM(C36:Q36)</f>
        <v>4558.3675995889353</v>
      </c>
    </row>
    <row r="37" spans="1:18">
      <c r="A37" s="885" t="s">
        <v>225</v>
      </c>
      <c r="B37" s="892"/>
      <c r="C37" s="718">
        <f ca="1">huishoudens!B12</f>
        <v>3440.9241334263802</v>
      </c>
      <c r="D37" s="718">
        <f ca="1">huishoudens!C12</f>
        <v>0</v>
      </c>
      <c r="E37" s="718">
        <f>huishoudens!D12</f>
        <v>4100.8423374612321</v>
      </c>
      <c r="F37" s="718">
        <f>huishoudens!E12</f>
        <v>686.34957982459377</v>
      </c>
      <c r="G37" s="718">
        <f>huishoudens!F12</f>
        <v>5608.5367935024415</v>
      </c>
      <c r="H37" s="718">
        <f>huishoudens!G12</f>
        <v>0</v>
      </c>
      <c r="I37" s="718">
        <f>huishoudens!H12</f>
        <v>0</v>
      </c>
      <c r="J37" s="718">
        <f>huishoudens!I12</f>
        <v>0</v>
      </c>
      <c r="K37" s="718">
        <f>huishoudens!J12</f>
        <v>981.0974416756851</v>
      </c>
      <c r="L37" s="718">
        <f>huishoudens!K12</f>
        <v>0</v>
      </c>
      <c r="M37" s="718">
        <f>huishoudens!L12</f>
        <v>0</v>
      </c>
      <c r="N37" s="718">
        <f>huishoudens!M12</f>
        <v>0</v>
      </c>
      <c r="O37" s="718">
        <f>huishoudens!N12</f>
        <v>0</v>
      </c>
      <c r="P37" s="718">
        <f>huishoudens!O12</f>
        <v>0</v>
      </c>
      <c r="Q37" s="828">
        <f>huishoudens!P12</f>
        <v>0</v>
      </c>
      <c r="R37" s="917">
        <f ca="1">SUM(C37:Q37)</f>
        <v>14817.750285890334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2026.4751252974881</v>
      </c>
      <c r="D39" s="718">
        <f ca="1">industrie!C22</f>
        <v>0</v>
      </c>
      <c r="E39" s="718">
        <f>industrie!D22</f>
        <v>331.37755012825011</v>
      </c>
      <c r="F39" s="718">
        <f>industrie!E22</f>
        <v>79.75184193461007</v>
      </c>
      <c r="G39" s="718">
        <f>industrie!F22</f>
        <v>351.44328779319756</v>
      </c>
      <c r="H39" s="718">
        <f>industrie!G22</f>
        <v>0</v>
      </c>
      <c r="I39" s="718">
        <f>industrie!H22</f>
        <v>0</v>
      </c>
      <c r="J39" s="718">
        <f>industrie!I22</f>
        <v>0</v>
      </c>
      <c r="K39" s="718">
        <f>industrie!J22</f>
        <v>0.7270057734199471</v>
      </c>
      <c r="L39" s="718">
        <f>industrie!K22</f>
        <v>0</v>
      </c>
      <c r="M39" s="718">
        <f>industrie!L22</f>
        <v>0</v>
      </c>
      <c r="N39" s="718">
        <f>industrie!M22</f>
        <v>0</v>
      </c>
      <c r="O39" s="718">
        <f>industrie!N22</f>
        <v>0</v>
      </c>
      <c r="P39" s="718">
        <f>industrie!O22</f>
        <v>0</v>
      </c>
      <c r="Q39" s="828">
        <f>industrie!P22</f>
        <v>0</v>
      </c>
      <c r="R39" s="918">
        <f ca="1">SUM(C39:Q39)</f>
        <v>2789.774810926966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7097.442703300484</v>
      </c>
      <c r="D41" s="763">
        <f t="shared" ref="D41:R41" ca="1" si="4">SUM(D35:D40)</f>
        <v>0</v>
      </c>
      <c r="E41" s="763">
        <f t="shared" ca="1" si="4"/>
        <v>6965.0522116679485</v>
      </c>
      <c r="F41" s="763">
        <f t="shared" si="4"/>
        <v>791.84555355406849</v>
      </c>
      <c r="G41" s="763">
        <f t="shared" ca="1" si="4"/>
        <v>6329.7132845273718</v>
      </c>
      <c r="H41" s="763">
        <f t="shared" si="4"/>
        <v>0</v>
      </c>
      <c r="I41" s="763">
        <f t="shared" si="4"/>
        <v>0</v>
      </c>
      <c r="J41" s="763">
        <f t="shared" si="4"/>
        <v>0</v>
      </c>
      <c r="K41" s="763">
        <f t="shared" si="4"/>
        <v>981.83894335636103</v>
      </c>
      <c r="L41" s="763">
        <f t="shared" si="4"/>
        <v>0</v>
      </c>
      <c r="M41" s="763">
        <f t="shared" ca="1" si="4"/>
        <v>0</v>
      </c>
      <c r="N41" s="763">
        <f t="shared" si="4"/>
        <v>0</v>
      </c>
      <c r="O41" s="763">
        <f t="shared" ca="1" si="4"/>
        <v>0</v>
      </c>
      <c r="P41" s="763">
        <f t="shared" si="4"/>
        <v>0</v>
      </c>
      <c r="Q41" s="764">
        <f t="shared" si="4"/>
        <v>0</v>
      </c>
      <c r="R41" s="765">
        <f t="shared" ca="1" si="4"/>
        <v>22165.892696406234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138.43544327358407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138.43544327358407</v>
      </c>
    </row>
    <row r="45" spans="1:18" ht="15" thickBot="1">
      <c r="A45" s="888" t="s">
        <v>307</v>
      </c>
      <c r="B45" s="898"/>
      <c r="C45" s="727">
        <f ca="1">transport!B18</f>
        <v>5.2837105660851513</v>
      </c>
      <c r="D45" s="727">
        <f>transport!C18</f>
        <v>0</v>
      </c>
      <c r="E45" s="727">
        <f>transport!D18</f>
        <v>16.250414024245394</v>
      </c>
      <c r="F45" s="727">
        <f>transport!E18</f>
        <v>24.707072007453132</v>
      </c>
      <c r="G45" s="727">
        <f>transport!F18</f>
        <v>0</v>
      </c>
      <c r="H45" s="727">
        <f>transport!G18</f>
        <v>11381.479690982442</v>
      </c>
      <c r="I45" s="727">
        <f>transport!H18</f>
        <v>2270.6636914684914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13698.384579048718</v>
      </c>
    </row>
    <row r="46" spans="1:18" ht="15.75" thickBot="1">
      <c r="A46" s="886" t="s">
        <v>230</v>
      </c>
      <c r="B46" s="899"/>
      <c r="C46" s="763">
        <f t="shared" ref="C46:R46" ca="1" si="5">SUM(C43:C45)</f>
        <v>5.2837105660851513</v>
      </c>
      <c r="D46" s="763">
        <f t="shared" ca="1" si="5"/>
        <v>0</v>
      </c>
      <c r="E46" s="763">
        <f t="shared" si="5"/>
        <v>16.250414024245394</v>
      </c>
      <c r="F46" s="763">
        <f t="shared" si="5"/>
        <v>24.707072007453132</v>
      </c>
      <c r="G46" s="763">
        <f t="shared" si="5"/>
        <v>0</v>
      </c>
      <c r="H46" s="763">
        <f t="shared" si="5"/>
        <v>11519.915134256025</v>
      </c>
      <c r="I46" s="763">
        <f t="shared" si="5"/>
        <v>2270.6636914684914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13836.820022322301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456.93130215637296</v>
      </c>
      <c r="D48" s="718">
        <f ca="1">+landbouw!C12</f>
        <v>863.16806722689068</v>
      </c>
      <c r="E48" s="718">
        <f>+landbouw!D12</f>
        <v>0</v>
      </c>
      <c r="F48" s="718">
        <f>+landbouw!E12</f>
        <v>14.59094075505492</v>
      </c>
      <c r="G48" s="718">
        <f>+landbouw!F12</f>
        <v>2432.4146635025559</v>
      </c>
      <c r="H48" s="718">
        <f>+landbouw!G12</f>
        <v>0</v>
      </c>
      <c r="I48" s="718">
        <f>+landbouw!H12</f>
        <v>0</v>
      </c>
      <c r="J48" s="718">
        <f>+landbouw!I12</f>
        <v>0</v>
      </c>
      <c r="K48" s="718">
        <f>+landbouw!J12</f>
        <v>112.15535031620041</v>
      </c>
      <c r="L48" s="718">
        <f>+landbouw!K12</f>
        <v>0</v>
      </c>
      <c r="M48" s="718">
        <f>+landbouw!L12</f>
        <v>0</v>
      </c>
      <c r="N48" s="718">
        <f>+landbouw!M12</f>
        <v>0</v>
      </c>
      <c r="O48" s="718">
        <f>+landbouw!N12</f>
        <v>0</v>
      </c>
      <c r="P48" s="718">
        <f>+landbouw!O12</f>
        <v>0</v>
      </c>
      <c r="Q48" s="719">
        <f>+landbouw!P12</f>
        <v>0</v>
      </c>
      <c r="R48" s="761">
        <f ca="1">SUM(C48:Q48)</f>
        <v>3879.2603239570744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7559.6577160229426</v>
      </c>
      <c r="D53" s="773">
        <f t="shared" ref="D53:Q53" ca="1" si="6">D41+D46+D48</f>
        <v>863.16806722689068</v>
      </c>
      <c r="E53" s="773">
        <f t="shared" ca="1" si="6"/>
        <v>6981.3026256921939</v>
      </c>
      <c r="F53" s="773">
        <f t="shared" si="6"/>
        <v>831.14356631657654</v>
      </c>
      <c r="G53" s="773">
        <f t="shared" ca="1" si="6"/>
        <v>8762.1279480299272</v>
      </c>
      <c r="H53" s="773">
        <f t="shared" si="6"/>
        <v>11519.915134256025</v>
      </c>
      <c r="I53" s="773">
        <f t="shared" si="6"/>
        <v>2270.6636914684914</v>
      </c>
      <c r="J53" s="773">
        <f t="shared" si="6"/>
        <v>0</v>
      </c>
      <c r="K53" s="773">
        <f t="shared" si="6"/>
        <v>1093.9942936725615</v>
      </c>
      <c r="L53" s="773">
        <f t="shared" si="6"/>
        <v>0</v>
      </c>
      <c r="M53" s="773">
        <f t="shared" ca="1" si="6"/>
        <v>0</v>
      </c>
      <c r="N53" s="773">
        <f t="shared" si="6"/>
        <v>0</v>
      </c>
      <c r="O53" s="773">
        <f t="shared" ca="1" si="6"/>
        <v>0</v>
      </c>
      <c r="P53" s="773">
        <f>P41+P46+P48</f>
        <v>0</v>
      </c>
      <c r="Q53" s="774">
        <f t="shared" si="6"/>
        <v>0</v>
      </c>
      <c r="R53" s="775">
        <f ca="1">R41+R46+R48</f>
        <v>39881.973042685611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0.20894798692580521</v>
      </c>
      <c r="D55" s="836">
        <f t="shared" ca="1" si="7"/>
        <v>0.23363596352060925</v>
      </c>
      <c r="E55" s="836">
        <f t="shared" ca="1" si="7"/>
        <v>0.20200000000000007</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2120.8854738161344</v>
      </c>
      <c r="C66" s="795">
        <f>'lokale energieproductie'!B6</f>
        <v>2120.8854738161344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2586.1499999999996</v>
      </c>
      <c r="C67" s="794">
        <f>B67*IFERROR(SUM(J67:L67)/SUM(D67:M67),0)</f>
        <v>43.649999999999991</v>
      </c>
      <c r="D67" s="826">
        <f>'lokale energieproductie'!C7</f>
        <v>2991.1764705882351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604.21764705882356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4707.0354738161341</v>
      </c>
      <c r="C69" s="803">
        <f>SUM(C64:C68)</f>
        <v>2164.5354738161345</v>
      </c>
      <c r="D69" s="804">
        <f t="shared" ref="D69:M69" si="8">SUM(D67:D68)</f>
        <v>2991.1764705882351</v>
      </c>
      <c r="E69" s="804">
        <f t="shared" si="8"/>
        <v>0</v>
      </c>
      <c r="F69" s="804">
        <f t="shared" si="8"/>
        <v>0</v>
      </c>
      <c r="G69" s="804">
        <f t="shared" si="8"/>
        <v>0</v>
      </c>
      <c r="H69" s="804">
        <f t="shared" si="8"/>
        <v>0</v>
      </c>
      <c r="I69" s="804">
        <f t="shared" si="8"/>
        <v>0</v>
      </c>
      <c r="J69" s="804">
        <f t="shared" si="8"/>
        <v>0</v>
      </c>
      <c r="K69" s="804">
        <f t="shared" si="8"/>
        <v>51.352941176470587</v>
      </c>
      <c r="L69" s="804">
        <f t="shared" si="8"/>
        <v>0</v>
      </c>
      <c r="M69" s="930">
        <f t="shared" si="8"/>
        <v>0</v>
      </c>
      <c r="N69" s="805">
        <v>0</v>
      </c>
      <c r="O69" s="805">
        <f>SUM(O67:O68)</f>
        <v>604.21764705882356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3694.4999999999991</v>
      </c>
      <c r="C78" s="817">
        <f>B78*IFERROR(SUM(I78:L78)/SUM(D78:M78),0)</f>
        <v>62.35714285714284</v>
      </c>
      <c r="D78" s="832">
        <f>'lokale energieproductie'!C16</f>
        <v>4273.1092436974786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863.16806722689068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3694.4999999999991</v>
      </c>
      <c r="C81" s="803">
        <f>SUM(C78:C80)</f>
        <v>62.35714285714284</v>
      </c>
      <c r="D81" s="803">
        <f t="shared" ref="D81:P81" si="9">SUM(D78:D80)</f>
        <v>4273.1092436974786</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863.16806722689068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16467.850128884987</v>
      </c>
      <c r="C4" s="478">
        <f>huishoudens!C8</f>
        <v>0</v>
      </c>
      <c r="D4" s="478">
        <f>huishoudens!D8</f>
        <v>20301.199690402136</v>
      </c>
      <c r="E4" s="478">
        <f>huishoudens!E8</f>
        <v>3023.5664309453468</v>
      </c>
      <c r="F4" s="478">
        <f>huishoudens!F8</f>
        <v>21005.755780908021</v>
      </c>
      <c r="G4" s="478">
        <f>huishoudens!G8</f>
        <v>0</v>
      </c>
      <c r="H4" s="478">
        <f>huishoudens!H8</f>
        <v>0</v>
      </c>
      <c r="I4" s="478">
        <f>huishoudens!I8</f>
        <v>0</v>
      </c>
      <c r="J4" s="478">
        <f>huishoudens!J8</f>
        <v>2771.461699648828</v>
      </c>
      <c r="K4" s="478">
        <f>huishoudens!K8</f>
        <v>0</v>
      </c>
      <c r="L4" s="478">
        <f>huishoudens!L8</f>
        <v>0</v>
      </c>
      <c r="M4" s="478">
        <f>huishoudens!M8</f>
        <v>0</v>
      </c>
      <c r="N4" s="478">
        <f>huishoudens!N8</f>
        <v>15824.230752537249</v>
      </c>
      <c r="O4" s="478">
        <f>huishoudens!O8</f>
        <v>201.67000000000004</v>
      </c>
      <c r="P4" s="479">
        <f>huishoudens!P8</f>
        <v>381.33333333333337</v>
      </c>
      <c r="Q4" s="480">
        <f>SUM(B4:P4)</f>
        <v>79977.067816659895</v>
      </c>
    </row>
    <row r="5" spans="1:17">
      <c r="A5" s="477" t="s">
        <v>156</v>
      </c>
      <c r="B5" s="478">
        <f ca="1">tertiair!B16</f>
        <v>7191.6583855261806</v>
      </c>
      <c r="C5" s="478">
        <f ca="1">tertiair!C16</f>
        <v>0</v>
      </c>
      <c r="D5" s="478">
        <f ca="1">tertiair!D16</f>
        <v>12538.773881576564</v>
      </c>
      <c r="E5" s="478">
        <f>tertiair!E16</f>
        <v>113.41027222407342</v>
      </c>
      <c r="F5" s="478">
        <f ca="1">tertiair!F16</f>
        <v>1384.7685514297118</v>
      </c>
      <c r="G5" s="478">
        <f>tertiair!G16</f>
        <v>0</v>
      </c>
      <c r="H5" s="478">
        <f>tertiair!H16</f>
        <v>0</v>
      </c>
      <c r="I5" s="478">
        <f>tertiair!I16</f>
        <v>0</v>
      </c>
      <c r="J5" s="478">
        <f>tertiair!J16</f>
        <v>4.094889055371749E-2</v>
      </c>
      <c r="K5" s="478">
        <f>tertiair!K16</f>
        <v>0</v>
      </c>
      <c r="L5" s="478">
        <f ca="1">tertiair!L16</f>
        <v>0</v>
      </c>
      <c r="M5" s="478">
        <f>tertiair!M16</f>
        <v>0</v>
      </c>
      <c r="N5" s="478">
        <f ca="1">tertiair!N16</f>
        <v>1611.1866640937628</v>
      </c>
      <c r="O5" s="478">
        <f>tertiair!O16</f>
        <v>4.6900000000000004</v>
      </c>
      <c r="P5" s="479">
        <f>tertiair!P16</f>
        <v>19.066666666666666</v>
      </c>
      <c r="Q5" s="477">
        <f t="shared" ref="Q5:Q13" ca="1" si="0">SUM(B5:P5)</f>
        <v>22863.595370407511</v>
      </c>
    </row>
    <row r="6" spans="1:17">
      <c r="A6" s="477" t="s">
        <v>194</v>
      </c>
      <c r="B6" s="478">
        <f>'openbare verlichting'!B8</f>
        <v>609.53399999999999</v>
      </c>
      <c r="C6" s="478"/>
      <c r="D6" s="478"/>
      <c r="E6" s="478"/>
      <c r="F6" s="478"/>
      <c r="G6" s="478"/>
      <c r="H6" s="478"/>
      <c r="I6" s="478"/>
      <c r="J6" s="478"/>
      <c r="K6" s="478"/>
      <c r="L6" s="478"/>
      <c r="M6" s="478"/>
      <c r="N6" s="478"/>
      <c r="O6" s="478"/>
      <c r="P6" s="479"/>
      <c r="Q6" s="477">
        <f t="shared" si="0"/>
        <v>609.53399999999999</v>
      </c>
    </row>
    <row r="7" spans="1:17">
      <c r="A7" s="477" t="s">
        <v>112</v>
      </c>
      <c r="B7" s="478">
        <f>landbouw!B8</f>
        <v>2186.8183985836795</v>
      </c>
      <c r="C7" s="478">
        <f>landbouw!C8</f>
        <v>3694.4999999999991</v>
      </c>
      <c r="D7" s="478">
        <f>landbouw!D8</f>
        <v>0</v>
      </c>
      <c r="E7" s="478">
        <f>landbouw!E8</f>
        <v>64.277272048700084</v>
      </c>
      <c r="F7" s="478">
        <f>landbouw!F8</f>
        <v>9110.1672790357898</v>
      </c>
      <c r="G7" s="478">
        <f>landbouw!G8</f>
        <v>0</v>
      </c>
      <c r="H7" s="478">
        <f>landbouw!H8</f>
        <v>0</v>
      </c>
      <c r="I7" s="478">
        <f>landbouw!I8</f>
        <v>0</v>
      </c>
      <c r="J7" s="478">
        <f>landbouw!J8</f>
        <v>316.82302349209158</v>
      </c>
      <c r="K7" s="478">
        <f>landbouw!K8</f>
        <v>0</v>
      </c>
      <c r="L7" s="478">
        <f>landbouw!L8</f>
        <v>0</v>
      </c>
      <c r="M7" s="478">
        <f>landbouw!M8</f>
        <v>0</v>
      </c>
      <c r="N7" s="478">
        <f>landbouw!N8</f>
        <v>0</v>
      </c>
      <c r="O7" s="478">
        <f>landbouw!O8</f>
        <v>0</v>
      </c>
      <c r="P7" s="479">
        <f>landbouw!P8</f>
        <v>0</v>
      </c>
      <c r="Q7" s="477">
        <f t="shared" si="0"/>
        <v>15372.585973160261</v>
      </c>
    </row>
    <row r="8" spans="1:17">
      <c r="A8" s="477" t="s">
        <v>635</v>
      </c>
      <c r="B8" s="478">
        <f>industrie!B18</f>
        <v>9698.4668534617849</v>
      </c>
      <c r="C8" s="478">
        <f>industrie!C18</f>
        <v>0</v>
      </c>
      <c r="D8" s="478">
        <f>industrie!D18</f>
        <v>1640.4829214269807</v>
      </c>
      <c r="E8" s="478">
        <f>industrie!E18</f>
        <v>351.32970015246724</v>
      </c>
      <c r="F8" s="478">
        <f>industrie!F18</f>
        <v>1316.2669954801406</v>
      </c>
      <c r="G8" s="478">
        <f>industrie!G18</f>
        <v>0</v>
      </c>
      <c r="H8" s="478">
        <f>industrie!H18</f>
        <v>0</v>
      </c>
      <c r="I8" s="478">
        <f>industrie!I18</f>
        <v>0</v>
      </c>
      <c r="J8" s="478">
        <f>industrie!J18</f>
        <v>2.0536886254800768</v>
      </c>
      <c r="K8" s="478">
        <f>industrie!K18</f>
        <v>0</v>
      </c>
      <c r="L8" s="478">
        <f>industrie!L18</f>
        <v>0</v>
      </c>
      <c r="M8" s="478">
        <f>industrie!M18</f>
        <v>0</v>
      </c>
      <c r="N8" s="478">
        <f>industrie!N18</f>
        <v>12085.668765746068</v>
      </c>
      <c r="O8" s="478">
        <f>industrie!O18</f>
        <v>0</v>
      </c>
      <c r="P8" s="479">
        <f>industrie!P18</f>
        <v>0</v>
      </c>
      <c r="Q8" s="477">
        <f t="shared" si="0"/>
        <v>25094.268924892924</v>
      </c>
    </row>
    <row r="9" spans="1:17" s="483" customFormat="1">
      <c r="A9" s="481" t="s">
        <v>561</v>
      </c>
      <c r="B9" s="482">
        <f>transport!B14</f>
        <v>25.287204934696643</v>
      </c>
      <c r="C9" s="482">
        <f>transport!C14</f>
        <v>0</v>
      </c>
      <c r="D9" s="482">
        <f>transport!D14</f>
        <v>80.447594179432642</v>
      </c>
      <c r="E9" s="482">
        <f>transport!E14</f>
        <v>108.84172690507987</v>
      </c>
      <c r="F9" s="482">
        <f>transport!F14</f>
        <v>0</v>
      </c>
      <c r="G9" s="482">
        <f>transport!G14</f>
        <v>42627.264760233862</v>
      </c>
      <c r="H9" s="482">
        <f>transport!H14</f>
        <v>9119.1312910381184</v>
      </c>
      <c r="I9" s="482">
        <f>transport!I14</f>
        <v>0</v>
      </c>
      <c r="J9" s="482">
        <f>transport!J14</f>
        <v>0</v>
      </c>
      <c r="K9" s="482">
        <f>transport!K14</f>
        <v>0</v>
      </c>
      <c r="L9" s="482">
        <f>transport!L14</f>
        <v>0</v>
      </c>
      <c r="M9" s="482">
        <f>transport!M14</f>
        <v>2761.176804936104</v>
      </c>
      <c r="N9" s="482">
        <f>transport!N14</f>
        <v>0</v>
      </c>
      <c r="O9" s="482">
        <f>transport!O14</f>
        <v>0</v>
      </c>
      <c r="P9" s="482">
        <f>transport!P14</f>
        <v>0</v>
      </c>
      <c r="Q9" s="481">
        <f>SUM(B9:P9)</f>
        <v>54722.14938222729</v>
      </c>
    </row>
    <row r="10" spans="1:17">
      <c r="A10" s="477" t="s">
        <v>551</v>
      </c>
      <c r="B10" s="478">
        <f>transport!B54</f>
        <v>0</v>
      </c>
      <c r="C10" s="478">
        <f>transport!C54</f>
        <v>0</v>
      </c>
      <c r="D10" s="478">
        <f>transport!D54</f>
        <v>0</v>
      </c>
      <c r="E10" s="478">
        <f>transport!E54</f>
        <v>0</v>
      </c>
      <c r="F10" s="478">
        <f>transport!F54</f>
        <v>0</v>
      </c>
      <c r="G10" s="478">
        <f>transport!G54</f>
        <v>518.4848062681051</v>
      </c>
      <c r="H10" s="478">
        <f>transport!H54</f>
        <v>0</v>
      </c>
      <c r="I10" s="478">
        <f>transport!I54</f>
        <v>0</v>
      </c>
      <c r="J10" s="478">
        <f>transport!J54</f>
        <v>0</v>
      </c>
      <c r="K10" s="478">
        <f>transport!K54</f>
        <v>0</v>
      </c>
      <c r="L10" s="478">
        <f>transport!L54</f>
        <v>0</v>
      </c>
      <c r="M10" s="478">
        <f>transport!M54</f>
        <v>29.447648105246859</v>
      </c>
      <c r="N10" s="478">
        <f>transport!N54</f>
        <v>0</v>
      </c>
      <c r="O10" s="478">
        <f>transport!O54</f>
        <v>0</v>
      </c>
      <c r="P10" s="479">
        <f>transport!P54</f>
        <v>0</v>
      </c>
      <c r="Q10" s="477">
        <f t="shared" si="0"/>
        <v>547.93245437335202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36179.614971391333</v>
      </c>
      <c r="C14" s="488">
        <f t="shared" ref="C14:Q14" ca="1" si="1">SUM(C4:C13)</f>
        <v>3694.4999999999991</v>
      </c>
      <c r="D14" s="488">
        <f t="shared" ca="1" si="1"/>
        <v>34560.904087585106</v>
      </c>
      <c r="E14" s="488">
        <f t="shared" si="1"/>
        <v>3661.4254022756668</v>
      </c>
      <c r="F14" s="488">
        <f t="shared" ca="1" si="1"/>
        <v>32816.958606853659</v>
      </c>
      <c r="G14" s="488">
        <f t="shared" si="1"/>
        <v>43145.749566501967</v>
      </c>
      <c r="H14" s="488">
        <f t="shared" si="1"/>
        <v>9119.1312910381184</v>
      </c>
      <c r="I14" s="488">
        <f t="shared" si="1"/>
        <v>0</v>
      </c>
      <c r="J14" s="488">
        <f t="shared" si="1"/>
        <v>3090.3793606569534</v>
      </c>
      <c r="K14" s="488">
        <f t="shared" si="1"/>
        <v>0</v>
      </c>
      <c r="L14" s="488">
        <f t="shared" ca="1" si="1"/>
        <v>0</v>
      </c>
      <c r="M14" s="488">
        <f t="shared" si="1"/>
        <v>2790.624453041351</v>
      </c>
      <c r="N14" s="488">
        <f t="shared" ca="1" si="1"/>
        <v>29521.086182377079</v>
      </c>
      <c r="O14" s="488">
        <f t="shared" si="1"/>
        <v>206.36000000000004</v>
      </c>
      <c r="P14" s="489">
        <f t="shared" si="1"/>
        <v>400.40000000000003</v>
      </c>
      <c r="Q14" s="489">
        <f t="shared" ca="1" si="1"/>
        <v>199187.13392172119</v>
      </c>
    </row>
    <row r="16" spans="1:17">
      <c r="A16" s="491" t="s">
        <v>556</v>
      </c>
      <c r="B16" s="841">
        <f ca="1">huishoudens!B10</f>
        <v>0.20894798692580521</v>
      </c>
      <c r="C16" s="841">
        <f ca="1">huishoudens!C10</f>
        <v>0.23363596352060925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3440.9241334263802</v>
      </c>
      <c r="C21" s="478">
        <f t="shared" ref="C21:C30" ca="1" si="3">C4*$C$16</f>
        <v>0</v>
      </c>
      <c r="D21" s="478">
        <f t="shared" ref="D21:D30" si="4">D4*$D$16</f>
        <v>4100.8423374612321</v>
      </c>
      <c r="E21" s="478">
        <f t="shared" ref="E21:E30" si="5">E4*$E$16</f>
        <v>686.34957982459377</v>
      </c>
      <c r="F21" s="478">
        <f t="shared" ref="F21:F30" si="6">F4*$F$16</f>
        <v>5608.5367935024415</v>
      </c>
      <c r="G21" s="478">
        <f t="shared" ref="G21:G30" si="7">G4*$G$16</f>
        <v>0</v>
      </c>
      <c r="H21" s="478">
        <f t="shared" ref="H21:H30" si="8">H4*$H$16</f>
        <v>0</v>
      </c>
      <c r="I21" s="478">
        <f t="shared" ref="I21:I30" si="9">I4*$I$16</f>
        <v>0</v>
      </c>
      <c r="J21" s="478">
        <f t="shared" ref="J21:J30" si="10">J4*$J$16</f>
        <v>981.0974416756851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14817.750285890334</v>
      </c>
    </row>
    <row r="22" spans="1:17">
      <c r="A22" s="477" t="s">
        <v>156</v>
      </c>
      <c r="B22" s="478">
        <f t="shared" ca="1" si="2"/>
        <v>1502.6825423137818</v>
      </c>
      <c r="C22" s="478">
        <f t="shared" ca="1" si="3"/>
        <v>0</v>
      </c>
      <c r="D22" s="478">
        <f t="shared" ca="1" si="4"/>
        <v>2532.8323240784662</v>
      </c>
      <c r="E22" s="478">
        <f t="shared" si="5"/>
        <v>25.744131794864668</v>
      </c>
      <c r="F22" s="478">
        <f t="shared" ca="1" si="6"/>
        <v>369.73320323173306</v>
      </c>
      <c r="G22" s="478">
        <f t="shared" si="7"/>
        <v>0</v>
      </c>
      <c r="H22" s="478">
        <f t="shared" si="8"/>
        <v>0</v>
      </c>
      <c r="I22" s="478">
        <f t="shared" si="9"/>
        <v>0</v>
      </c>
      <c r="J22" s="478">
        <f t="shared" si="10"/>
        <v>1.449590725601599E-2</v>
      </c>
      <c r="K22" s="478">
        <f t="shared" si="11"/>
        <v>0</v>
      </c>
      <c r="L22" s="478">
        <f t="shared" ca="1" si="12"/>
        <v>0</v>
      </c>
      <c r="M22" s="478">
        <f t="shared" si="13"/>
        <v>0</v>
      </c>
      <c r="N22" s="478">
        <f t="shared" ca="1" si="14"/>
        <v>0</v>
      </c>
      <c r="O22" s="478">
        <f t="shared" si="15"/>
        <v>0</v>
      </c>
      <c r="P22" s="479">
        <f t="shared" si="16"/>
        <v>0</v>
      </c>
      <c r="Q22" s="477">
        <f t="shared" ref="Q22:Q30" ca="1" si="17">SUM(B22:P22)</f>
        <v>4431.0066973261019</v>
      </c>
    </row>
    <row r="23" spans="1:17">
      <c r="A23" s="477" t="s">
        <v>194</v>
      </c>
      <c r="B23" s="478">
        <f t="shared" ca="1" si="2"/>
        <v>127.36090226283375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127.36090226283375</v>
      </c>
    </row>
    <row r="24" spans="1:17">
      <c r="A24" s="477" t="s">
        <v>112</v>
      </c>
      <c r="B24" s="478">
        <f t="shared" ca="1" si="2"/>
        <v>456.93130215637296</v>
      </c>
      <c r="C24" s="478">
        <f t="shared" ca="1" si="3"/>
        <v>863.16806722689068</v>
      </c>
      <c r="D24" s="478">
        <f t="shared" si="4"/>
        <v>0</v>
      </c>
      <c r="E24" s="478">
        <f t="shared" si="5"/>
        <v>14.59094075505492</v>
      </c>
      <c r="F24" s="478">
        <f t="shared" si="6"/>
        <v>2432.4146635025559</v>
      </c>
      <c r="G24" s="478">
        <f t="shared" si="7"/>
        <v>0</v>
      </c>
      <c r="H24" s="478">
        <f t="shared" si="8"/>
        <v>0</v>
      </c>
      <c r="I24" s="478">
        <f t="shared" si="9"/>
        <v>0</v>
      </c>
      <c r="J24" s="478">
        <f t="shared" si="10"/>
        <v>112.15535031620041</v>
      </c>
      <c r="K24" s="478">
        <f t="shared" si="11"/>
        <v>0</v>
      </c>
      <c r="L24" s="478">
        <f t="shared" si="12"/>
        <v>0</v>
      </c>
      <c r="M24" s="478">
        <f t="shared" si="13"/>
        <v>0</v>
      </c>
      <c r="N24" s="478">
        <f t="shared" si="14"/>
        <v>0</v>
      </c>
      <c r="O24" s="478">
        <f t="shared" si="15"/>
        <v>0</v>
      </c>
      <c r="P24" s="479">
        <f t="shared" si="16"/>
        <v>0</v>
      </c>
      <c r="Q24" s="477">
        <f t="shared" ca="1" si="17"/>
        <v>3879.2603239570744</v>
      </c>
    </row>
    <row r="25" spans="1:17">
      <c r="A25" s="477" t="s">
        <v>635</v>
      </c>
      <c r="B25" s="478">
        <f t="shared" ca="1" si="2"/>
        <v>2026.4751252974881</v>
      </c>
      <c r="C25" s="478">
        <f t="shared" ca="1" si="3"/>
        <v>0</v>
      </c>
      <c r="D25" s="478">
        <f t="shared" si="4"/>
        <v>331.37755012825011</v>
      </c>
      <c r="E25" s="478">
        <f t="shared" si="5"/>
        <v>79.75184193461007</v>
      </c>
      <c r="F25" s="478">
        <f t="shared" si="6"/>
        <v>351.44328779319756</v>
      </c>
      <c r="G25" s="478">
        <f t="shared" si="7"/>
        <v>0</v>
      </c>
      <c r="H25" s="478">
        <f t="shared" si="8"/>
        <v>0</v>
      </c>
      <c r="I25" s="478">
        <f t="shared" si="9"/>
        <v>0</v>
      </c>
      <c r="J25" s="478">
        <f t="shared" si="10"/>
        <v>0.7270057734199471</v>
      </c>
      <c r="K25" s="478">
        <f t="shared" si="11"/>
        <v>0</v>
      </c>
      <c r="L25" s="478">
        <f t="shared" si="12"/>
        <v>0</v>
      </c>
      <c r="M25" s="478">
        <f t="shared" si="13"/>
        <v>0</v>
      </c>
      <c r="N25" s="478">
        <f t="shared" si="14"/>
        <v>0</v>
      </c>
      <c r="O25" s="478">
        <f t="shared" si="15"/>
        <v>0</v>
      </c>
      <c r="P25" s="479">
        <f t="shared" si="16"/>
        <v>0</v>
      </c>
      <c r="Q25" s="477">
        <f t="shared" ca="1" si="17"/>
        <v>2789.774810926966</v>
      </c>
    </row>
    <row r="26" spans="1:17" s="483" customFormat="1">
      <c r="A26" s="481" t="s">
        <v>561</v>
      </c>
      <c r="B26" s="835">
        <f t="shared" ca="1" si="2"/>
        <v>5.2837105660851513</v>
      </c>
      <c r="C26" s="482">
        <f t="shared" ca="1" si="3"/>
        <v>0</v>
      </c>
      <c r="D26" s="482">
        <f t="shared" si="4"/>
        <v>16.250414024245394</v>
      </c>
      <c r="E26" s="482">
        <f t="shared" si="5"/>
        <v>24.707072007453132</v>
      </c>
      <c r="F26" s="482">
        <f t="shared" si="6"/>
        <v>0</v>
      </c>
      <c r="G26" s="482">
        <f t="shared" si="7"/>
        <v>11381.479690982442</v>
      </c>
      <c r="H26" s="482">
        <f t="shared" si="8"/>
        <v>2270.6636914684914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13698.384579048718</v>
      </c>
    </row>
    <row r="27" spans="1:17">
      <c r="A27" s="477" t="s">
        <v>551</v>
      </c>
      <c r="B27" s="478">
        <f t="shared" ca="1" si="2"/>
        <v>0</v>
      </c>
      <c r="C27" s="478">
        <f t="shared" ca="1" si="3"/>
        <v>0</v>
      </c>
      <c r="D27" s="478">
        <f t="shared" si="4"/>
        <v>0</v>
      </c>
      <c r="E27" s="478">
        <f t="shared" si="5"/>
        <v>0</v>
      </c>
      <c r="F27" s="478">
        <f t="shared" si="6"/>
        <v>0</v>
      </c>
      <c r="G27" s="478">
        <f t="shared" si="7"/>
        <v>138.43544327358407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138.43544327358407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7559.6577160229426</v>
      </c>
      <c r="C31" s="488">
        <f t="shared" ca="1" si="18"/>
        <v>863.16806722689068</v>
      </c>
      <c r="D31" s="488">
        <f t="shared" ca="1" si="18"/>
        <v>6981.3026256921939</v>
      </c>
      <c r="E31" s="488">
        <f t="shared" si="18"/>
        <v>831.14356631657654</v>
      </c>
      <c r="F31" s="488">
        <f t="shared" ca="1" si="18"/>
        <v>8762.1279480299272</v>
      </c>
      <c r="G31" s="488">
        <f t="shared" si="18"/>
        <v>11519.915134256025</v>
      </c>
      <c r="H31" s="488">
        <f t="shared" si="18"/>
        <v>2270.6636914684914</v>
      </c>
      <c r="I31" s="488">
        <f t="shared" si="18"/>
        <v>0</v>
      </c>
      <c r="J31" s="488">
        <f t="shared" si="18"/>
        <v>1093.9942936725615</v>
      </c>
      <c r="K31" s="488">
        <f t="shared" si="18"/>
        <v>0</v>
      </c>
      <c r="L31" s="488">
        <f t="shared" ca="1" si="18"/>
        <v>0</v>
      </c>
      <c r="M31" s="488">
        <f t="shared" si="18"/>
        <v>0</v>
      </c>
      <c r="N31" s="488">
        <f t="shared" ca="1" si="18"/>
        <v>0</v>
      </c>
      <c r="O31" s="488">
        <f t="shared" si="18"/>
        <v>0</v>
      </c>
      <c r="P31" s="489">
        <f t="shared" si="18"/>
        <v>0</v>
      </c>
      <c r="Q31" s="489">
        <f t="shared" ca="1" si="18"/>
        <v>39881.973042685611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0.20894798692580521</v>
      </c>
      <c r="C17" s="528">
        <f ca="1">'EF ele_warmte'!B22</f>
        <v>0.23363596352060925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0.20894798692580521</v>
      </c>
      <c r="C17" s="528">
        <f ca="1">'EF ele_warmte'!B22</f>
        <v>0.23363596352060925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0.20894798692580521</v>
      </c>
      <c r="C29" s="529">
        <f ca="1">'EF ele_warmte'!B22</f>
        <v>0.23363596352060925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2018-09-06T12:48:38Z</dcterms:modified>
</cp:coreProperties>
</file>