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P31"/>
  <c r="I14"/>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C10" i="13"/>
  <c r="C16" i="48" s="1"/>
  <c r="C30" s="1"/>
  <c r="C20" i="16"/>
  <c r="C22" s="1"/>
  <c r="D39" i="14" s="1"/>
  <c r="O13"/>
  <c r="O15" s="1"/>
  <c r="C18" i="15"/>
  <c r="C20" s="1"/>
  <c r="D36"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7"/>
  <c r="C29"/>
  <c r="C21"/>
  <c r="C26"/>
  <c r="F25"/>
  <c r="F31" s="1"/>
  <c r="F14"/>
  <c r="R13" i="14" l="1"/>
  <c r="R15" s="1"/>
  <c r="R23" s="1"/>
  <c r="C28" i="48"/>
  <c r="C22"/>
  <c r="C25"/>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<sst xmlns="http://schemas.openxmlformats.org/spreadsheetml/2006/main" count="1938" uniqueCount="822">
  <si>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</si>
  <si>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</si>
  <si>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</si>
  <si>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</si>
  <si>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</si>
  <si>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</si>
  <si>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</si>
  <si>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</si>
  <si>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</si>
  <si>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</si>
  <si>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</si>
  <si>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</si>
  <si>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</si>
  <si>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</si>
  <si>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</si>
  <si>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</si>
  <si>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</si>
  <si>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</si>
  <si>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</si>
  <si>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</si>
  <si>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</si>
  <si>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</si>
  <si>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</si>
  <si>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</si>
  <si>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</si>
  <si>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</si>
  <si>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</si>
  <si>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</si>
  <si>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</si>
  <si>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</si>
  <si>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</si>
  <si>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</si>
  <si>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</si>
  <si>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</si>
  <si>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</si>
  <si>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</si>
  <si>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</si>
  <si>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</si>
  <si>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</si>
  <si>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</si>
  <si>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</si>
  <si>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</si>
  <si>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</si>
  <si>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</si>
  <si>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</si>
  <si>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</si>
  <si>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</si>
  <si>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</si>
  <si>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</si>
  <si>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</si>
  <si>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</si>
  <si>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</si>
  <si>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</si>
  <si>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</si>
  <si>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</si>
  <si>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</si>
  <si>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</si>
  <si>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</si>
  <si>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</si>
  <si>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</si>
  <si>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</si>
  <si>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</si>
  <si>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</si>
  <si>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</si>
  <si>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</si>
  <si>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</si>
  <si>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</si>
  <si>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</si>
  <si>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</si>
  <si>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</si>
  <si>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</si>
  <si>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</si>
  <si>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</si>
  <si>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</si>
  <si>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</si>
  <si>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</si>
  <si>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</si>
  <si>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</si>
  <si>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</si>
  <si>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</si>
  <si>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</si>
  <si>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</si>
  <si>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</si>
  <si>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</si>
  <si>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</si>
  <si>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</si>
  <si>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</si>
  <si>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</si>
  <si>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</si>
  <si>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</si>
  <si>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</si>
  <si>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</si>
  <si>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</si>
  <si>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</si>
  <si>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</si>
  <si>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</si>
  <si>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</si>
  <si>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</si>
  <si>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</si>
  <si>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</si>
  <si>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</si>
  <si>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</si>
  <si>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</si>
  <si>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</si>
  <si>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</si>
  <si>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</si>
  <si>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</si>
  <si>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</si>
  <si>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</si>
  <si>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</si>
  <si>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</si>
  <si>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</si>
  <si>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</si>
  <si>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</si>
  <si>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</si>
  <si>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</si>
  <si>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</si>
  <si>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</si>
  <si>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</si>
  <si>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</si>
  <si>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</si>
  <si>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</si>
  <si>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</si>
  <si>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</si>
  <si>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</si>
  <si>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</si>
  <si>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</si>
  <si>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</si>
  <si>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</si>
  <si>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</si>
  <si>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</si>
  <si>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</si>
  <si>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</si>
  <si>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</si>
  <si>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</si>
  <si>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</si>
  <si>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</si>
  <si>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</si>
  <si>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</si>
  <si>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</si>
  <si>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</si>
  <si>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</si>
  <si>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</si>
  <si>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</si>
  <si>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</si>
  <si>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</si>
  <si>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</si>
  <si>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</si>
  <si>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</si>
  <si>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</si>
  <si>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</si>
  <si>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</si>
  <si>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</si>
  <si>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</si>
  <si>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</si>
  <si>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</si>
  <si>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</si>
  <si>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</si>
  <si>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</si>
  <si>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</si>
  <si>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</si>
  <si>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</si>
  <si>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</si>
  <si>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</si>
  <si>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</si>
  <si>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</si>
  <si>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</si>
  <si>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</si>
  <si>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</si>
  <si>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</si>
  <si>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</si>
  <si>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</si>
  <si>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</si>
  <si>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</si>
  <si>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</si>
  <si>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</si>
  <si>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</si>
  <si>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</si>
  <si>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</si>
  <si>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</si>
  <si>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</si>
  <si>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</si>
  <si>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</si>
  <si>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</si>
  <si>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</si>
  <si>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</si>
  <si>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</si>
  <si>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</si>
  <si>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</si>
  <si>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</si>
  <si>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</si>
  <si>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</si>
  <si>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</si>
  <si>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</si>
  <si>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</si>
  <si>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</si>
  <si>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</si>
  <si>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</si>
  <si>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</si>
  <si>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</si>
  <si>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</si>
  <si>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</si>
  <si>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</si>
  <si>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</si>
  <si>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</si>
  <si>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</si>
  <si>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</si>
  <si>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</si>
  <si>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</si>
  <si>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</si>
  <si>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</si>
  <si>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</si>
  <si>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</si>
  <si>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</si>
  <si>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</si>
  <si>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</si>
  <si>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</si>
  <si>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</si>
  <si>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</si>
  <si>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</si>
  <si>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</si>
  <si>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</si>
  <si>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</si>
  <si>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</si>
  <si>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</si>
  <si>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</si>
  <si>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</si>
  <si>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</si>
  <si>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</si>
  <si>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</si>
  <si>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</si>
  <si>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</si>
  <si>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</si>
  <si>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</si>
  <si>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</si>
  <si>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</si>
  <si>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</si>
  <si>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</si>
  <si>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</si>
  <si>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</si>
  <si>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</si>
  <si>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</si>
  <si>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</si>
  <si>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</si>
  <si>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</si>
  <si>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</si>
  <si>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</si>
  <si>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</si>
  <si>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</si>
  <si>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</si>
  <si>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</si>
  <si>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</si>
  <si>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</si>
  <si>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</si>
  <si>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</si>
  <si>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</si>
  <si>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</si>
  <si>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</si>
  <si>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</si>
  <si>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</si>
  <si>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</si>
  <si>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</si>
  <si>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</si>
  <si>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</si>
  <si>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</si>
  <si>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</si>
  <si>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</si>
  <si>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</si>
  <si>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</si>
  <si>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</si>
  <si>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</si>
  <si>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</si>
  <si>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</si>
  <si>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</si>
  <si>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</si>
  <si>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</si>
  <si>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</si>
  <si>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</si>
  <si>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</si>
  <si>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</si>
  <si>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</si>
  <si>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</si>
  <si>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</si>
  <si>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</si>
  <si>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</si>
  <si>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</si>
  <si>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</si>
  <si>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</si>
  <si>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</si>
  <si>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</si>
  <si>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</si>
  <si>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</si>
  <si>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</si>
  <si>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</si>
  <si>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</si>
  <si>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</si>
  <si>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</si>
  <si>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</si>
  <si>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</si>
  <si>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</si>
  <si>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</si>
  <si>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</si>
  <si>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</si>
  <si>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</si>
  <si>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</si>
  <si>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</si>
  <si>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</si>
  <si>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</si>
  <si>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</si>
  <si>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</si>
  <si>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</si>
  <si>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</si>
  <si>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</si>
  <si>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</si>
  <si>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</si>
  <si>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</si>
  <si>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</si>
  <si>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</si>
  <si>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</si>
  <si>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</si>
  <si>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</si>
  <si>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</si>
  <si>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</si>
  <si>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</si>
  <si>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</si>
  <si>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</si>
  <si>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</si>
  <si>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</si>
  <si>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</si>
  <si>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</si>
  <si>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</si>
  <si>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</si>
  <si>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</si>
  <si>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</si>
  <si>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</si>
  <si>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</si>
  <si>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</si>
  <si>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</si>
  <si>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</si>
  <si>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</si>
  <si>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</si>
  <si>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</si>
  <si>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</si>
  <si>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</si>
  <si>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</si>
  <si>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</si>
  <si>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</si>
  <si>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</si>
  <si>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</si>
  <si>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</si>
  <si>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</si>
  <si>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</si>
  <si>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</si>
  <si>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</si>
  <si>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</si>
  <si>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</si>
  <si>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</si>
  <si>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</si>
  <si>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</si>
  <si>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</si>
  <si>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</si>
  <si>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</si>
  <si>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</si>
  <si>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</si>
  <si>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</si>
  <si>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</si>
  <si>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</si>
  <si>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</si>
  <si>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</si>
  <si>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</si>
  <si>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</si>
  <si>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</si>
  <si>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</si>
  <si>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</si>
  <si>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</si>
  <si>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</si>
  <si>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</si>
  <si>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</si>
  <si>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</si>
  <si>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</si>
  <si>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</si>
  <si>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</si>
  <si>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</si>
  <si>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</si>
  <si>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</si>
  <si>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</si>
  <si>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</si>
  <si>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</si>
  <si>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</si>
  <si>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</si>
  <si>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</si>
  <si>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</si>
  <si>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</si>
  <si>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</si>
  <si>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</si>
  <si>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</si>
  <si>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</si>
  <si>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</si>
  <si>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</si>
  <si>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</si>
  <si>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</si>
  <si>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</si>
  <si>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</si>
  <si>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</si>
  <si>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</si>
  <si>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</si>
  <si>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</si>
  <si>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</si>
  <si>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</si>
  <si>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</si>
  <si>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</si>
  <si>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</si>
  <si>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</si>
  <si>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</si>
  <si>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</si>
  <si>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</si>
  <si>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</si>
  <si>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</si>
  <si>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</si>
  <si>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</si>
  <si>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</si>
  <si>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</si>
  <si>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</si>
  <si>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</si>
  <si>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</si>
  <si>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</si>
  <si>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</si>
  <si>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</si>
  <si>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</si>
  <si>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</si>
  <si>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</si>
  <si>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</si>
  <si>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</si>
  <si>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</si>
  <si>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</si>
  <si>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</si>
  <si>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</si>
  <si>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</si>
  <si>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</si>
  <si>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</si>
  <si>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</si>
  <si>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</si>
  <si>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</si>
  <si>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</si>
  <si>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</si>
  <si>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</si>
  <si>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</si>
  <si>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</si>
  <si>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</si>
  <si>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</si>
  <si>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</si>
  <si>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</si>
  <si>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</si>
  <si>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</si>
  <si>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</si>
  <si>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</si>
  <si>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</si>
  <si>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</si>
  <si>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</si>
  <si>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</si>
  <si>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</si>
  <si>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</si>
  <si>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</si>
  <si>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</si>
  <si>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</si>
  <si>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</si>
  <si>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</si>
  <si>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</si>
  <si>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</si>
  <si>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</si>
  <si>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</si>
  <si>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</si>
  <si>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</si>
  <si>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</si>
  <si>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</si>
  <si>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</si>
  <si>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</si>
  <si>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</si>
  <si>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</si>
  <si>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</si>
  <si>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</si>
  <si>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</si>
  <si>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</si>
  <si>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</si>
  <si>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</si>
  <si>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</si>
  <si>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</si>
  <si>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</si>
  <si>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</si>
  <si>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</si>
  <si>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</si>
  <si>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</si>
  <si>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</si>
  <si>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</si>
  <si>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</si>
  <si>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</si>
  <si>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</si>
  <si>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</si>
  <si>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</si>
  <si>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</si>
  <si>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</si>
  <si>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</si>
  <si>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</si>
  <si>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</si>
  <si>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</si>
  <si>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</si>
  <si>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</si>
  <si>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</si>
  <si>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</si>
  <si>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</si>
  <si>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</si>
  <si>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</si>
  <si>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</si>
  <si>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</si>
  <si>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</si>
  <si>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</si>
  <si>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</si>
  <si>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</si>
  <si>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</si>
  <si>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</si>
  <si>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</si>
  <si>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</si>
  <si>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</si>
  <si>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</si>
  <si>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</si>
  <si>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</si>
  <si>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</si>
  <si>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</si>
  <si>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</si>
  <si>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</si>
  <si>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</si>
  <si>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</si>
  <si>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</si>
  <si>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</si>
  <si>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</si>
  <si>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</si>
  <si>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</si>
  <si>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</si>
  <si>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</si>
  <si>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</si>
  <si>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</si>
  <si>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</si>
  <si>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</si>
  <si>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</si>
  <si>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</si>
  <si>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</si>
  <si>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</si>
  <si>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</si>
  <si>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</si>
  <si>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</si>
  <si>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</si>
  <si>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</si>
  <si>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</si>
  <si>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</si>
  <si>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</si>
  <si>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</si>
  <si>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</si>
  <si>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</si>
  <si>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</si>
  <si>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</si>
  <si>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</si>
  <si>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</si>
  <si>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</si>
  <si>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</si>
  <si>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</si>
  <si>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</si>
  <si>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</si>
  <si>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</si>
  <si>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</si>
  <si>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</si>
  <si>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</si>
  <si>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</si>
  <si>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</si>
  <si>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</si>
  <si>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</si>
  <si>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</si>
  <si>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</si>
  <si>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</si>
  <si>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</si>
  <si>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</si>
  <si>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</si>
  <si>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</si>
  <si>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</si>
  <si>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</si>
  <si>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</si>
  <si>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</si>
  <si>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</si>
  <si>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</si>
  <si>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</si>
  <si>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</si>
  <si>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</si>
  <si>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</si>
  <si>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</si>
  <si>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</si>
  <si>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</si>
  <si>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</si>
  <si>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</si>
  <si>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</si>
  <si>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</si>
  <si>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</si>
  <si>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</si>
  <si>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</si>
  <si>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</si>
  <si>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</si>
  <si>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</si>
  <si>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</si>
  <si>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</si>
  <si>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</si>
  <si>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</si>
  <si>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</si>
  <si>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</si>
  <si>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</si>
  <si>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</si>
  <si>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</si>
  <si>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</si>
  <si>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</si>
  <si>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</si>
  <si>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</si>
  <si>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</si>
  <si>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</si>
  <si>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</si>
  <si>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</si>
  <si>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</si>
  <si>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</si>
  <si>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</si>
  <si>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</si>
  <si>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</si>
  <si>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</si>
  <si>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</si>
  <si>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</si>
  <si>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</si>
  <si>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</si>
  <si>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</si>
  <si>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</si>
  <si>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</si>
  <si>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</si>
  <si>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</si>
  <si>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</si>
  <si>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</si>
  <si>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</si>
  <si>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</si>
  <si>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</si>
  <si>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</si>
  <si>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</si>
  <si>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</si>
  <si>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</si>
  <si>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</si>
  <si>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</si>
  <si>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</si>
  <si>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</si>
  <si>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</si>
  <si>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</si>
  <si>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</si>
  <si>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</si>
  <si>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</si>
  <si>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</si>
  <si>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</si>
  <si>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</si>
  <si>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</si>
  <si>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</si>
  <si>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</si>
  <si>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</si>
  <si>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</si>
  <si>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</si>
  <si>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</si>
  <si>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</si>
  <si>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</si>
  <si>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</si>
  <si>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</si>
  <si>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</si>
  <si>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</si>
  <si>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</si>
  <si>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</si>
  <si>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</si>
  <si>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</si>
  <si>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</si>
  <si>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</si>
  <si>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</si>
  <si>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</si>
  <si>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</si>
  <si>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</si>
  <si>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</si>
  <si>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</si>
  <si>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</si>
  <si>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</si>
  <si>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</si>
  <si>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</si>
  <si>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</si>
  <si>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</si>
  <si>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</si>
  <si>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</si>
  <si>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</si>
  <si>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</si>
  <si>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</si>
  <si>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</si>
  <si>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</si>
  <si>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</si>
  <si>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</si>
  <si>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</si>
  <si>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</si>
  <si>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</si>
  <si>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</si>
  <si>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</si>
  <si>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</si>
  <si>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</si>
  <si>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</si>
  <si>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</si>
  <si>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</si>
  <si>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</si>
  <si>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</si>
  <si>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</si>
  <si>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</si>
  <si>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</si>
  <si>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</si>
  <si>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</si>
  <si>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</si>
  <si>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</si>
  <si>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</si>
  <si>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</si>
  <si>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</si>
  <si>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</si>
  <si>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</si>
  <si>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</si>
  <si>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</si>
  <si>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</si>
  <si>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</si>
  <si>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</si>
  <si>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</si>
  <si>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</si>
  <si>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</si>
  <si>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</si>
  <si>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</si>
  <si>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</si>
  <si>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</si>
  <si>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</si>
  <si>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</si>
  <si>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</si>
  <si>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</si>
  <si>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</si>
  <si>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</si>
  <si>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</si>
  <si>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</si>
  <si>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</si>
  <si>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</si>
  <si>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</si>
  <si>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</si>
  <si>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</si>
  <si>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</si>
  <si>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</si>
  <si>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</si>
  <si>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</si>
  <si>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</si>
  <si>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</si>
  <si>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</si>
  <si>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</si>
  <si>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</si>
  <si>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</si>
  <si>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</si>
  <si>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</si>
  <si>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</si>
  <si>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</si>
  <si>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</si>
  <si>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</si>
  <si>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</si>
  <si>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</si>
  <si>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</si>
  <si>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</si>
  <si>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</si>
  <si>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</si>
  <si>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</si>
  <si>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</si>
  <si>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</si>
  <si>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</si>
  <si>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</si>
  <si>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</si>
  <si>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</si>
  <si>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</si>
  <si>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</si>
  <si>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</si>
  <si>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</si>
  <si>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</si>
  <si>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</si>
  <si>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</si>
  <si>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</si>
  <si>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</si>
  <si>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</si>
  <si>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</si>
  <si>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</si>
  <si>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</si>
  <si>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</si>
  <si>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</si>
  <si>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</si>
  <si>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</si>
  <si>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</si>
  <si>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</si>
  <si>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</si>
  <si>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</si>
  <si>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</si>
  <si>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</si>
  <si>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</si>
  <si>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</si>
  <si>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44001</t>
  </si>
  <si>
    <t>AALTER</t>
  </si>
  <si>
    <t>Eandis (januari 2018); Infrax (juni 2018)</t>
  </si>
  <si>
    <t>MOW (september 2017)</t>
  </si>
  <si>
    <t>referentietaak LNE (2017); Jaarverslag De Lijn (2016)</t>
  </si>
  <si>
    <t>VEA (april 2018)</t>
  </si>
  <si>
    <t>VEA (januari 2017)</t>
  </si>
  <si>
    <t>VEA (juni 2018)</t>
  </si>
  <si>
    <t>Bio-N.R.GY nv</t>
  </si>
  <si>
    <t>Northlaan 15 B7.01, 8400 Oostende</t>
  </si>
  <si>
    <t>WKK-0466 Bio-N.R.GY</t>
  </si>
  <si>
    <t>interne verbrandingsmotor</t>
  </si>
  <si>
    <t>WKK interne verbrandinsgmotor (gas)</t>
  </si>
  <si>
    <t>Aalterweg 4 , 9880 Aalter</t>
  </si>
  <si>
    <t>IMEWO</t>
  </si>
  <si>
    <t>WKK-0682 MIG Aalter</t>
  </si>
  <si>
    <t>Watermolenstraat 1 , 9880 Aalter</t>
  </si>
  <si>
    <t>Woon en zorgcentrum Veilige Have</t>
  </si>
  <si>
    <t>WKK-0752</t>
  </si>
  <si>
    <t>Lostraat 28, 9880 Aalter, BE</t>
  </si>
  <si>
    <t>IMEWO (via EANDIS)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</si>
</sst>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162332.18754356808</c:v>
                </c:pt>
                <c:pt idx="1">
                  <c:v>61888.868905978859</c:v>
                </c:pt>
                <c:pt idx="2">
                  <c:v>2078.9459999999999</c:v>
                </c:pt>
                <c:pt idx="3">
                  <c:v>61673.458003147105</c:v>
                </c:pt>
                <c:pt idx="4">
                  <c:v>311906.0820640868</c:v>
                </c:pt>
                <c:pt idx="5">
                  <c:v>558268.23362937127</c:v>
                </c:pt>
                <c:pt idx="6">
                  <c:v>684.84066362494104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9727744"/>
        <c:axId val="179754112"/>
      </c:barChart>
      <c:catAx>
        <c:axId val="179727744"/>
        <c:scaling>
          <c:orientation val="minMax"/>
        </c:scaling>
        <c:axPos val="b"/>
        <c:numFmt formatCode="General" sourceLinked="0"/>
        <c:tickLblPos val="nextTo"/>
        <c:crossAx val="179754112"/>
        <c:crosses val="autoZero"/>
        <c:auto val="1"/>
        <c:lblAlgn val="ctr"/>
        <c:lblOffset val="100"/>
      </c:catAx>
      <c:valAx>
        <c:axId val="179754112"/>
        <c:scaling>
          <c:orientation val="minMax"/>
        </c:scaling>
        <c:axPos val="l"/>
        <c:majorGridlines/>
        <c:numFmt formatCode="#,##0" sourceLinked="1"/>
        <c:tickLblPos val="nextTo"/>
        <c:crossAx val="179727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162332.18754356808</c:v>
                </c:pt>
                <c:pt idx="1">
                  <c:v>61888.868905978859</c:v>
                </c:pt>
                <c:pt idx="2">
                  <c:v>2078.9459999999999</c:v>
                </c:pt>
                <c:pt idx="3">
                  <c:v>61673.458003147105</c:v>
                </c:pt>
                <c:pt idx="4">
                  <c:v>311906.0820640868</c:v>
                </c:pt>
                <c:pt idx="5">
                  <c:v>558268.23362937127</c:v>
                </c:pt>
                <c:pt idx="6">
                  <c:v>684.84066362494104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29270.157825681283</c:v>
                </c:pt>
                <c:pt idx="1">
                  <c:v>11817.387364175509</c:v>
                </c:pt>
                <c:pt idx="2">
                  <c:v>392.46988645974471</c:v>
                </c:pt>
                <c:pt idx="3">
                  <c:v>10651.173617675908</c:v>
                </c:pt>
                <c:pt idx="4">
                  <c:v>56256.536814689716</c:v>
                </c:pt>
                <c:pt idx="5">
                  <c:v>139922.80690580618</c:v>
                </c:pt>
                <c:pt idx="6">
                  <c:v>173.02537946784008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56928"/>
        <c:axId val="182636544"/>
      </c:barChart>
      <c:catAx>
        <c:axId val="182556928"/>
        <c:scaling>
          <c:orientation val="minMax"/>
        </c:scaling>
        <c:axPos val="b"/>
        <c:numFmt formatCode="General" sourceLinked="0"/>
        <c:tickLblPos val="nextTo"/>
        <c:crossAx val="182636544"/>
        <c:crosses val="autoZero"/>
        <c:auto val="1"/>
        <c:lblAlgn val="ctr"/>
        <c:lblOffset val="100"/>
      </c:catAx>
      <c:valAx>
        <c:axId val="182636544"/>
        <c:scaling>
          <c:orientation val="minMax"/>
        </c:scaling>
        <c:axPos val="l"/>
        <c:majorGridlines/>
        <c:numFmt formatCode="#,##0" sourceLinked="1"/>
        <c:tickLblPos val="nextTo"/>
        <c:crossAx val="1825569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29270.157825681283</c:v>
                </c:pt>
                <c:pt idx="1">
                  <c:v>11817.387364175509</c:v>
                </c:pt>
                <c:pt idx="2">
                  <c:v>392.46988645974471</c:v>
                </c:pt>
                <c:pt idx="3">
                  <c:v>10651.173617675908</c:v>
                </c:pt>
                <c:pt idx="4">
                  <c:v>56256.536814689716</c:v>
                </c:pt>
                <c:pt idx="5">
                  <c:v>139922.80690580618</c:v>
                </c:pt>
                <c:pt idx="6">
                  <c:v>173.02537946784008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44001</v>
      </c>
      <c r="B6" s="415"/>
      <c r="C6" s="416"/>
    </row>
    <row r="7" spans="1:7" s="413" customFormat="1" ht="15.75" customHeight="1">
      <c r="A7" s="417" t="str">
        <f>txtMunicipality</f>
        <v>AALTER</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44001</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8364</v>
      </c>
      <c r="C9" s="342">
        <v>8063</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4963.3500000000004</v>
      </c>
    </row>
    <row r="15" spans="1:6">
      <c r="A15" s="348" t="s">
        <v>184</v>
      </c>
      <c r="B15" s="334">
        <v>98</v>
      </c>
    </row>
    <row r="16" spans="1:6">
      <c r="A16" s="348" t="s">
        <v>6</v>
      </c>
      <c r="B16" s="334">
        <v>3769</v>
      </c>
    </row>
    <row r="17" spans="1:6">
      <c r="A17" s="348" t="s">
        <v>7</v>
      </c>
      <c r="B17" s="334">
        <v>1470</v>
      </c>
    </row>
    <row r="18" spans="1:6">
      <c r="A18" s="348" t="s">
        <v>8</v>
      </c>
      <c r="B18" s="334">
        <v>3043</v>
      </c>
    </row>
    <row r="19" spans="1:6">
      <c r="A19" s="348" t="s">
        <v>9</v>
      </c>
      <c r="B19" s="334">
        <v>3082</v>
      </c>
    </row>
    <row r="20" spans="1:6">
      <c r="A20" s="348" t="s">
        <v>10</v>
      </c>
      <c r="B20" s="334">
        <v>1788</v>
      </c>
    </row>
    <row r="21" spans="1:6">
      <c r="A21" s="348" t="s">
        <v>11</v>
      </c>
      <c r="B21" s="334">
        <v>25298</v>
      </c>
    </row>
    <row r="22" spans="1:6">
      <c r="A22" s="348" t="s">
        <v>12</v>
      </c>
      <c r="B22" s="334">
        <v>78338</v>
      </c>
    </row>
    <row r="23" spans="1:6">
      <c r="A23" s="348" t="s">
        <v>13</v>
      </c>
      <c r="B23" s="334">
        <v>816</v>
      </c>
    </row>
    <row r="24" spans="1:6">
      <c r="A24" s="348" t="s">
        <v>14</v>
      </c>
      <c r="B24" s="334">
        <v>30</v>
      </c>
    </row>
    <row r="25" spans="1:6">
      <c r="A25" s="348" t="s">
        <v>15</v>
      </c>
      <c r="B25" s="334">
        <v>4404</v>
      </c>
    </row>
    <row r="26" spans="1:6">
      <c r="A26" s="348" t="s">
        <v>16</v>
      </c>
      <c r="B26" s="334">
        <v>410</v>
      </c>
    </row>
    <row r="27" spans="1:6">
      <c r="A27" s="348" t="s">
        <v>17</v>
      </c>
      <c r="B27" s="334">
        <v>2</v>
      </c>
    </row>
    <row r="28" spans="1:6" s="356" customFormat="1">
      <c r="A28" s="355" t="s">
        <v>18</v>
      </c>
      <c r="B28" s="355">
        <v>806590</v>
      </c>
    </row>
    <row r="29" spans="1:6">
      <c r="A29" s="355" t="s">
        <v>744</v>
      </c>
      <c r="B29" s="355">
        <v>234</v>
      </c>
      <c r="C29" s="356"/>
      <c r="D29" s="356"/>
      <c r="E29" s="356"/>
      <c r="F29" s="356"/>
    </row>
    <row r="30" spans="1:6">
      <c r="A30" s="341" t="s">
        <v>745</v>
      </c>
      <c r="B30" s="341">
        <v>44</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29122</v>
      </c>
    </row>
    <row r="37" spans="1:6">
      <c r="A37" s="348" t="s">
        <v>25</v>
      </c>
      <c r="B37" s="348" t="s">
        <v>28</v>
      </c>
      <c r="C37" s="334">
        <v>0</v>
      </c>
      <c r="D37" s="334">
        <v>0</v>
      </c>
      <c r="E37" s="334">
        <v>0</v>
      </c>
      <c r="F37" s="334">
        <v>0</v>
      </c>
    </row>
    <row r="38" spans="1:6">
      <c r="A38" s="348" t="s">
        <v>25</v>
      </c>
      <c r="B38" s="348" t="s">
        <v>29</v>
      </c>
      <c r="C38" s="334">
        <v>0</v>
      </c>
      <c r="D38" s="334">
        <v>0</v>
      </c>
      <c r="E38" s="334">
        <v>3</v>
      </c>
      <c r="F38" s="334">
        <v>103474.26225296</v>
      </c>
    </row>
    <row r="39" spans="1:6">
      <c r="A39" s="348" t="s">
        <v>30</v>
      </c>
      <c r="B39" s="348" t="s">
        <v>31</v>
      </c>
      <c r="C39" s="334">
        <v>3961</v>
      </c>
      <c r="D39" s="334">
        <v>59531094.775394</v>
      </c>
      <c r="E39" s="334">
        <v>7748</v>
      </c>
      <c r="F39" s="334">
        <v>35154072.3545307</v>
      </c>
    </row>
    <row r="40" spans="1:6">
      <c r="A40" s="348" t="s">
        <v>30</v>
      </c>
      <c r="B40" s="348" t="s">
        <v>29</v>
      </c>
      <c r="C40" s="334">
        <v>0</v>
      </c>
      <c r="D40" s="334">
        <v>0</v>
      </c>
      <c r="E40" s="334">
        <v>0</v>
      </c>
      <c r="F40" s="334">
        <v>0</v>
      </c>
    </row>
    <row r="41" spans="1:6">
      <c r="A41" s="348" t="s">
        <v>32</v>
      </c>
      <c r="B41" s="348" t="s">
        <v>33</v>
      </c>
      <c r="C41" s="334">
        <v>117</v>
      </c>
      <c r="D41" s="334">
        <v>2299760.7883392498</v>
      </c>
      <c r="E41" s="334">
        <v>296</v>
      </c>
      <c r="F41" s="334">
        <v>2728809.8378876098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7</v>
      </c>
      <c r="D44" s="334">
        <v>344149.49675123102</v>
      </c>
      <c r="E44" s="334">
        <v>33</v>
      </c>
      <c r="F44" s="334">
        <v>1729308.99353745</v>
      </c>
    </row>
    <row r="45" spans="1:6">
      <c r="A45" s="348" t="s">
        <v>32</v>
      </c>
      <c r="B45" s="348" t="s">
        <v>37</v>
      </c>
      <c r="C45" s="334">
        <v>3</v>
      </c>
      <c r="D45" s="334">
        <v>2254417.4562598802</v>
      </c>
      <c r="E45" s="334">
        <v>4</v>
      </c>
      <c r="F45" s="334">
        <v>934467.07502058696</v>
      </c>
    </row>
    <row r="46" spans="1:6">
      <c r="A46" s="348" t="s">
        <v>32</v>
      </c>
      <c r="B46" s="348" t="s">
        <v>38</v>
      </c>
      <c r="C46" s="334">
        <v>0</v>
      </c>
      <c r="D46" s="334">
        <v>0</v>
      </c>
      <c r="E46" s="334">
        <v>0</v>
      </c>
      <c r="F46" s="334">
        <v>0</v>
      </c>
    </row>
    <row r="47" spans="1:6">
      <c r="A47" s="348" t="s">
        <v>32</v>
      </c>
      <c r="B47" s="348" t="s">
        <v>39</v>
      </c>
      <c r="C47" s="334">
        <v>4</v>
      </c>
      <c r="D47" s="334">
        <v>10125082.082746699</v>
      </c>
      <c r="E47" s="334">
        <v>8</v>
      </c>
      <c r="F47" s="334">
        <v>8029956.0329365199</v>
      </c>
    </row>
    <row r="48" spans="1:6">
      <c r="A48" s="348" t="s">
        <v>32</v>
      </c>
      <c r="B48" s="348" t="s">
        <v>29</v>
      </c>
      <c r="C48" s="334">
        <v>31</v>
      </c>
      <c r="D48" s="334">
        <v>185804963.68642199</v>
      </c>
      <c r="E48" s="334">
        <v>49</v>
      </c>
      <c r="F48" s="334">
        <v>8820740.8231973201</v>
      </c>
    </row>
    <row r="49" spans="1:6">
      <c r="A49" s="348" t="s">
        <v>32</v>
      </c>
      <c r="B49" s="348" t="s">
        <v>40</v>
      </c>
      <c r="C49" s="334">
        <v>0</v>
      </c>
      <c r="D49" s="334">
        <v>0</v>
      </c>
      <c r="E49" s="334">
        <v>0</v>
      </c>
      <c r="F49" s="334">
        <v>0</v>
      </c>
    </row>
    <row r="50" spans="1:6">
      <c r="A50" s="348" t="s">
        <v>32</v>
      </c>
      <c r="B50" s="348" t="s">
        <v>41</v>
      </c>
      <c r="C50" s="334">
        <v>13</v>
      </c>
      <c r="D50" s="334">
        <v>4906437.6678406801</v>
      </c>
      <c r="E50" s="334">
        <v>23</v>
      </c>
      <c r="F50" s="334">
        <v>63140947.724142298</v>
      </c>
    </row>
    <row r="51" spans="1:6">
      <c r="A51" s="348" t="s">
        <v>42</v>
      </c>
      <c r="B51" s="348" t="s">
        <v>43</v>
      </c>
      <c r="C51" s="334">
        <v>11</v>
      </c>
      <c r="D51" s="334">
        <v>188876.170147928</v>
      </c>
      <c r="E51" s="334">
        <v>235</v>
      </c>
      <c r="F51" s="334">
        <v>5932957.8773954501</v>
      </c>
    </row>
    <row r="52" spans="1:6">
      <c r="A52" s="348" t="s">
        <v>42</v>
      </c>
      <c r="B52" s="348" t="s">
        <v>29</v>
      </c>
      <c r="C52" s="334">
        <v>16</v>
      </c>
      <c r="D52" s="334">
        <v>8324545.2248882102</v>
      </c>
      <c r="E52" s="334">
        <v>18</v>
      </c>
      <c r="F52" s="334">
        <v>534656.15608107205</v>
      </c>
    </row>
    <row r="53" spans="1:6">
      <c r="A53" s="348" t="s">
        <v>44</v>
      </c>
      <c r="B53" s="348" t="s">
        <v>45</v>
      </c>
      <c r="C53" s="334">
        <v>111</v>
      </c>
      <c r="D53" s="334">
        <v>1400253.70940059</v>
      </c>
      <c r="E53" s="334">
        <v>319</v>
      </c>
      <c r="F53" s="334">
        <v>1409717.7077357499</v>
      </c>
    </row>
    <row r="54" spans="1:6">
      <c r="A54" s="348" t="s">
        <v>46</v>
      </c>
      <c r="B54" s="348" t="s">
        <v>47</v>
      </c>
      <c r="C54" s="334">
        <v>0</v>
      </c>
      <c r="D54" s="334">
        <v>0</v>
      </c>
      <c r="E54" s="334">
        <v>4</v>
      </c>
      <c r="F54" s="334">
        <v>2078946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69</v>
      </c>
      <c r="D57" s="334">
        <v>3558602.0671937698</v>
      </c>
      <c r="E57" s="334">
        <v>102</v>
      </c>
      <c r="F57" s="334">
        <v>2270335.2626888198</v>
      </c>
    </row>
    <row r="58" spans="1:6">
      <c r="A58" s="348" t="s">
        <v>49</v>
      </c>
      <c r="B58" s="348" t="s">
        <v>51</v>
      </c>
      <c r="C58" s="334">
        <v>30</v>
      </c>
      <c r="D58" s="334">
        <v>812383.55463296501</v>
      </c>
      <c r="E58" s="334">
        <v>57</v>
      </c>
      <c r="F58" s="334">
        <v>746307.26224799897</v>
      </c>
    </row>
    <row r="59" spans="1:6">
      <c r="A59" s="348" t="s">
        <v>49</v>
      </c>
      <c r="B59" s="348" t="s">
        <v>52</v>
      </c>
      <c r="C59" s="334">
        <v>96</v>
      </c>
      <c r="D59" s="334">
        <v>3708858.31891305</v>
      </c>
      <c r="E59" s="334">
        <v>251</v>
      </c>
      <c r="F59" s="334">
        <v>7940768.1247916203</v>
      </c>
    </row>
    <row r="60" spans="1:6">
      <c r="A60" s="348" t="s">
        <v>49</v>
      </c>
      <c r="B60" s="348" t="s">
        <v>53</v>
      </c>
      <c r="C60" s="334">
        <v>61</v>
      </c>
      <c r="D60" s="334">
        <v>3368950.8044630699</v>
      </c>
      <c r="E60" s="334">
        <v>94</v>
      </c>
      <c r="F60" s="334">
        <v>2657312.2397410101</v>
      </c>
    </row>
    <row r="61" spans="1:6">
      <c r="A61" s="348" t="s">
        <v>49</v>
      </c>
      <c r="B61" s="348" t="s">
        <v>54</v>
      </c>
      <c r="C61" s="334">
        <v>135</v>
      </c>
      <c r="D61" s="334">
        <v>3542817.67049804</v>
      </c>
      <c r="E61" s="334">
        <v>484</v>
      </c>
      <c r="F61" s="334">
        <v>5736995.2919707103</v>
      </c>
    </row>
    <row r="62" spans="1:6">
      <c r="A62" s="348" t="s">
        <v>49</v>
      </c>
      <c r="B62" s="348" t="s">
        <v>55</v>
      </c>
      <c r="C62" s="334">
        <v>5</v>
      </c>
      <c r="D62" s="334">
        <v>672980.64779423899</v>
      </c>
      <c r="E62" s="334">
        <v>9</v>
      </c>
      <c r="F62" s="334">
        <v>86176.263988619699</v>
      </c>
    </row>
    <row r="63" spans="1:6">
      <c r="A63" s="348" t="s">
        <v>49</v>
      </c>
      <c r="B63" s="348" t="s">
        <v>29</v>
      </c>
      <c r="C63" s="334">
        <v>105</v>
      </c>
      <c r="D63" s="334">
        <v>12993603.3489241</v>
      </c>
      <c r="E63" s="334">
        <v>140</v>
      </c>
      <c r="F63" s="334">
        <v>8384794.95078432</v>
      </c>
    </row>
    <row r="64" spans="1:6">
      <c r="A64" s="348" t="s">
        <v>56</v>
      </c>
      <c r="B64" s="348" t="s">
        <v>57</v>
      </c>
      <c r="C64" s="334">
        <v>0</v>
      </c>
      <c r="D64" s="334">
        <v>0</v>
      </c>
      <c r="E64" s="334">
        <v>0</v>
      </c>
      <c r="F64" s="334">
        <v>0</v>
      </c>
    </row>
    <row r="65" spans="1:6">
      <c r="A65" s="348" t="s">
        <v>56</v>
      </c>
      <c r="B65" s="348" t="s">
        <v>29</v>
      </c>
      <c r="C65" s="334">
        <v>2</v>
      </c>
      <c r="D65" s="334">
        <v>34402.631653394899</v>
      </c>
      <c r="E65" s="334">
        <v>5</v>
      </c>
      <c r="F65" s="334">
        <v>48120.339717523697</v>
      </c>
    </row>
    <row r="66" spans="1:6">
      <c r="A66" s="348" t="s">
        <v>56</v>
      </c>
      <c r="B66" s="348" t="s">
        <v>58</v>
      </c>
      <c r="C66" s="334">
        <v>0</v>
      </c>
      <c r="D66" s="334">
        <v>0</v>
      </c>
      <c r="E66" s="334">
        <v>15</v>
      </c>
      <c r="F66" s="334">
        <v>290190.96776857902</v>
      </c>
    </row>
    <row r="67" spans="1:6">
      <c r="A67" s="355" t="s">
        <v>56</v>
      </c>
      <c r="B67" s="355" t="s">
        <v>59</v>
      </c>
      <c r="C67" s="334">
        <v>0</v>
      </c>
      <c r="D67" s="334">
        <v>0</v>
      </c>
      <c r="E67" s="334">
        <v>0</v>
      </c>
      <c r="F67" s="334">
        <v>0</v>
      </c>
    </row>
    <row r="68" spans="1:6">
      <c r="A68" s="341" t="s">
        <v>56</v>
      </c>
      <c r="B68" s="341" t="s">
        <v>60</v>
      </c>
      <c r="C68" s="334">
        <v>3</v>
      </c>
      <c r="D68" s="334">
        <v>90076.154975188707</v>
      </c>
      <c r="E68" s="334">
        <v>14</v>
      </c>
      <c r="F68" s="334">
        <v>133194.585700328</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110118900</v>
      </c>
      <c r="E73" s="476">
        <v>103538857.62586872</v>
      </c>
    </row>
    <row r="74" spans="1:6">
      <c r="A74" s="348" t="s">
        <v>64</v>
      </c>
      <c r="B74" s="348" t="s">
        <v>657</v>
      </c>
      <c r="C74" s="1213" t="s">
        <v>659</v>
      </c>
      <c r="D74" s="476">
        <v>15536874.883225121</v>
      </c>
      <c r="E74" s="476">
        <v>14110250.443502299</v>
      </c>
    </row>
    <row r="75" spans="1:6">
      <c r="A75" s="348" t="s">
        <v>65</v>
      </c>
      <c r="B75" s="348" t="s">
        <v>656</v>
      </c>
      <c r="C75" s="1213" t="s">
        <v>660</v>
      </c>
      <c r="D75" s="476">
        <v>43336445</v>
      </c>
      <c r="E75" s="476">
        <v>41292810.475739218</v>
      </c>
    </row>
    <row r="76" spans="1:6">
      <c r="A76" s="348" t="s">
        <v>65</v>
      </c>
      <c r="B76" s="348" t="s">
        <v>657</v>
      </c>
      <c r="C76" s="1213" t="s">
        <v>661</v>
      </c>
      <c r="D76" s="476">
        <v>922917.88322512095</v>
      </c>
      <c r="E76" s="476">
        <v>855766.89248901536</v>
      </c>
    </row>
    <row r="77" spans="1:6">
      <c r="A77" s="348" t="s">
        <v>66</v>
      </c>
      <c r="B77" s="348" t="s">
        <v>656</v>
      </c>
      <c r="C77" s="1213" t="s">
        <v>662</v>
      </c>
      <c r="D77" s="476">
        <v>360388718</v>
      </c>
      <c r="E77" s="476">
        <v>366798915.82304358</v>
      </c>
    </row>
    <row r="78" spans="1:6">
      <c r="A78" s="341" t="s">
        <v>66</v>
      </c>
      <c r="B78" s="341" t="s">
        <v>657</v>
      </c>
      <c r="C78" s="341" t="s">
        <v>663</v>
      </c>
      <c r="D78" s="1214">
        <v>63807340</v>
      </c>
      <c r="E78" s="1214">
        <v>65110681.512430087</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185740.23354975809</v>
      </c>
      <c r="C83" s="476">
        <v>185027.03485440079</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5160.7047324280429</v>
      </c>
    </row>
    <row r="92" spans="1:6">
      <c r="A92" s="341" t="s">
        <v>69</v>
      </c>
      <c r="B92" s="342">
        <v>5796.033170813962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1440</v>
      </c>
    </row>
    <row r="98" spans="1:6">
      <c r="A98" s="348" t="s">
        <v>72</v>
      </c>
      <c r="B98" s="334">
        <v>1</v>
      </c>
    </row>
    <row r="99" spans="1:6">
      <c r="A99" s="348" t="s">
        <v>73</v>
      </c>
      <c r="B99" s="334">
        <v>236</v>
      </c>
    </row>
    <row r="100" spans="1:6">
      <c r="A100" s="348" t="s">
        <v>74</v>
      </c>
      <c r="B100" s="334">
        <v>1076</v>
      </c>
    </row>
    <row r="101" spans="1:6">
      <c r="A101" s="348" t="s">
        <v>75</v>
      </c>
      <c r="B101" s="334">
        <v>156</v>
      </c>
    </row>
    <row r="102" spans="1:6">
      <c r="A102" s="348" t="s">
        <v>76</v>
      </c>
      <c r="B102" s="334">
        <v>152</v>
      </c>
    </row>
    <row r="103" spans="1:6">
      <c r="A103" s="348" t="s">
        <v>77</v>
      </c>
      <c r="B103" s="334">
        <v>274</v>
      </c>
    </row>
    <row r="104" spans="1:6">
      <c r="A104" s="348" t="s">
        <v>78</v>
      </c>
      <c r="B104" s="334">
        <v>3449</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2</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77</v>
      </c>
      <c r="C123" s="334">
        <v>77</v>
      </c>
    </row>
    <row r="124" spans="1:6">
      <c r="A124" s="341" t="s">
        <v>89</v>
      </c>
      <c r="B124" s="334">
        <v>3</v>
      </c>
      <c r="C124" s="334">
        <v>3</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312</v>
      </c>
    </row>
    <row r="130" spans="1:6">
      <c r="A130" s="348" t="s">
        <v>295</v>
      </c>
      <c r="B130" s="334">
        <v>9</v>
      </c>
    </row>
    <row r="131" spans="1:6">
      <c r="A131" s="348" t="s">
        <v>296</v>
      </c>
      <c r="B131" s="334">
        <v>9</v>
      </c>
    </row>
    <row r="132" spans="1:6">
      <c r="A132" s="341" t="s">
        <v>297</v>
      </c>
      <c r="B132" s="342">
        <v>38</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162434.6549603616</v>
      </c>
      <c r="C3" s="43" t="s">
        <v>170</v>
      </c>
      <c r="D3" s="43"/>
      <c r="E3" s="154"/>
      <c r="F3" s="43"/>
      <c r="G3" s="43"/>
      <c r="H3" s="43"/>
      <c r="I3" s="43"/>
      <c r="J3" s="43"/>
      <c r="K3" s="96"/>
    </row>
    <row r="4" spans="1:11">
      <c r="A4" s="383" t="s">
        <v>171</v>
      </c>
      <c r="B4" s="49">
        <f>IF(ISERROR('SEAP template'!B69),0,'SEAP template'!B69)</f>
        <v>23855.987903242007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39.033529411764711</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0.18878310762268222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55.7621848739496</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18427.500000000004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3.0260309251905894E-3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2078.9459999999999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2078.9459999999999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0.18878310762268222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392.46988645974471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35154.072354530697</v>
      </c>
      <c r="C5" s="17">
        <f>IF(ISERROR('Eigen informatie GS &amp; warmtenet'!B57),0,'Eigen informatie GS &amp; warmtenet'!B57)</f>
        <v>0</v>
      </c>
      <c r="D5" s="30">
        <f>(SUM(HH_hh_gas_kWh,HH_rest_gas_kWh)/1000)*0.902</f>
        <v>53697.047487405391</v>
      </c>
      <c r="E5" s="17">
        <f>B46*B57</f>
        <v>10494.234864593411</v>
      </c>
      <c r="F5" s="17">
        <f>B51*B62</f>
        <v>30550.767065626762</v>
      </c>
      <c r="G5" s="18"/>
      <c r="H5" s="17"/>
      <c r="I5" s="17"/>
      <c r="J5" s="17">
        <f>B50*B61+C50*C61</f>
        <v>772.20116058917654</v>
      </c>
      <c r="K5" s="17"/>
      <c r="L5" s="17"/>
      <c r="M5" s="17"/>
      <c r="N5" s="17">
        <f>B48*B59+C48*C59</f>
        <v>23640.466545061274</v>
      </c>
      <c r="O5" s="17">
        <f>B69*B70*B71</f>
        <v>612.82666666666671</v>
      </c>
      <c r="P5" s="17">
        <f>B77*B78*B79/1000-B77*B78*B79/1000/B80</f>
        <v>2249.8666666666668</v>
      </c>
    </row>
    <row r="6" spans="1:16">
      <c r="A6" s="16" t="s">
        <v>621</v>
      </c>
      <c r="B6" s="843">
        <f>kWh_PV_kleiner_dan_10kW</f>
        <v>5160.7047324280429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40314.77708695874</v>
      </c>
      <c r="C8" s="21">
        <f>C5</f>
        <v>0</v>
      </c>
      <c r="D8" s="21">
        <f>D5</f>
        <v>53697.047487405391</v>
      </c>
      <c r="E8" s="21">
        <f>E5</f>
        <v>10494.234864593411</v>
      </c>
      <c r="F8" s="21">
        <f>F5</f>
        <v>30550.767065626762</v>
      </c>
      <c r="G8" s="21"/>
      <c r="H8" s="21"/>
      <c r="I8" s="21"/>
      <c r="J8" s="21">
        <f>J5</f>
        <v>772.20116058917654</v>
      </c>
      <c r="K8" s="21"/>
      <c r="L8" s="21">
        <f>L5</f>
        <v>0</v>
      </c>
      <c r="M8" s="21">
        <f>M5</f>
        <v>0</v>
      </c>
      <c r="N8" s="21">
        <f>N5</f>
        <v>23640.466545061274</v>
      </c>
      <c r="O8" s="21">
        <f>O5</f>
        <v>612.82666666666671</v>
      </c>
      <c r="P8" s="21">
        <f>P5</f>
        <v>2249.8666666666668</v>
      </c>
    </row>
    <row r="9" spans="1:16">
      <c r="B9" s="19"/>
      <c r="C9" s="19"/>
      <c r="D9" s="258"/>
      <c r="E9" s="19"/>
      <c r="F9" s="19"/>
      <c r="G9" s="19"/>
      <c r="H9" s="19"/>
      <c r="I9" s="19"/>
      <c r="J9" s="19"/>
      <c r="K9" s="19"/>
      <c r="L9" s="19"/>
      <c r="M9" s="19"/>
      <c r="N9" s="19"/>
      <c r="O9" s="19"/>
      <c r="P9" s="19"/>
    </row>
    <row r="10" spans="1:16">
      <c r="A10" s="24" t="s">
        <v>214</v>
      </c>
      <c r="B10" s="25">
        <f ca="1">'EF ele_warmte'!B12</f>
        <v>0.18878310762268222</v>
      </c>
      <c r="C10" s="25">
        <f ca="1">'EF ele_warmte'!B22</f>
        <v>3.0260309251905894E-3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7610.7489015917745</v>
      </c>
      <c r="C12" s="23">
        <f ca="1">C10*C8</f>
        <v>0</v>
      </c>
      <c r="D12" s="23">
        <f>D8*D10</f>
        <v>10846.80359245589</v>
      </c>
      <c r="E12" s="23">
        <f>E10*E8</f>
        <v>2382.1913142627045</v>
      </c>
      <c r="F12" s="23">
        <f>F10*F8</f>
        <v>8157.0548065223456</v>
      </c>
      <c r="G12" s="23"/>
      <c r="H12" s="23"/>
      <c r="I12" s="23"/>
      <c r="J12" s="23">
        <f>J10*J8</f>
        <v>273.35921084856847</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1440</v>
      </c>
      <c r="C18" s="166" t="s">
        <v>111</v>
      </c>
      <c r="D18" s="228"/>
      <c r="E18" s="15"/>
    </row>
    <row r="19" spans="1:7">
      <c r="A19" s="171" t="s">
        <v>72</v>
      </c>
      <c r="B19" s="37">
        <f>aantalw2001_ander</f>
        <v>1</v>
      </c>
      <c r="C19" s="166" t="s">
        <v>111</v>
      </c>
      <c r="D19" s="229"/>
      <c r="E19" s="15"/>
    </row>
    <row r="20" spans="1:7">
      <c r="A20" s="171" t="s">
        <v>73</v>
      </c>
      <c r="B20" s="37">
        <f>aantalw2001_propaan</f>
        <v>236</v>
      </c>
      <c r="C20" s="167">
        <f>IF(ISERROR(B20/SUM($B$20,$B$21,$B$22)*100),0,B20/SUM($B$20,$B$21,$B$22)*100)</f>
        <v>16.076294277929154</v>
      </c>
      <c r="D20" s="229"/>
      <c r="E20" s="15"/>
    </row>
    <row r="21" spans="1:7">
      <c r="A21" s="171" t="s">
        <v>74</v>
      </c>
      <c r="B21" s="37">
        <f>aantalw2001_elektriciteit</f>
        <v>1076</v>
      </c>
      <c r="C21" s="167">
        <f>IF(ISERROR(B21/SUM($B$20,$B$21,$B$22)*100),0,B21/SUM($B$20,$B$21,$B$22)*100)</f>
        <v>73.297002724795647</v>
      </c>
      <c r="D21" s="229"/>
      <c r="E21" s="15"/>
    </row>
    <row r="22" spans="1:7">
      <c r="A22" s="171" t="s">
        <v>75</v>
      </c>
      <c r="B22" s="37">
        <f>aantalw2001_hout</f>
        <v>156</v>
      </c>
      <c r="C22" s="167">
        <f>IF(ISERROR(B22/SUM($B$20,$B$21,$B$22)*100),0,B22/SUM($B$20,$B$21,$B$22)*100)</f>
        <v>10.626702997275205</v>
      </c>
      <c r="D22" s="229"/>
      <c r="E22" s="15"/>
    </row>
    <row r="23" spans="1:7">
      <c r="A23" s="171" t="s">
        <v>76</v>
      </c>
      <c r="B23" s="37">
        <f>aantalw2001_niet_gespec</f>
        <v>152</v>
      </c>
      <c r="C23" s="166" t="s">
        <v>111</v>
      </c>
      <c r="D23" s="228"/>
      <c r="E23" s="15"/>
    </row>
    <row r="24" spans="1:7">
      <c r="A24" s="171" t="s">
        <v>77</v>
      </c>
      <c r="B24" s="37">
        <f>aantalw2001_steenkool</f>
        <v>274</v>
      </c>
      <c r="C24" s="166" t="s">
        <v>111</v>
      </c>
      <c r="D24" s="229"/>
      <c r="E24" s="15"/>
    </row>
    <row r="25" spans="1:7">
      <c r="A25" s="171" t="s">
        <v>78</v>
      </c>
      <c r="B25" s="37">
        <f>aantalw2001_stookolie</f>
        <v>3449</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794</v>
      </c>
      <c r="B28" s="37">
        <f>aantalHuishoudens2011</f>
        <v>8364</v>
      </c>
      <c r="C28" s="36"/>
      <c r="D28" s="228"/>
    </row>
    <row r="29" spans="1:7" s="15" customFormat="1">
      <c r="A29" s="230" t="s">
        <v>795</v>
      </c>
      <c r="B29" s="37">
        <f>SUM(HH_hh_gas_aantal,HH_rest_gas_aantal)</f>
        <v>3961</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3961</v>
      </c>
      <c r="C32" s="167">
        <f>IF(ISERROR(B32/SUM($B$32,$B$34,$B$35,$B$36,$B$38,$B$39)*100),0,B32/SUM($B$32,$B$34,$B$35,$B$36,$B$38,$B$39)*100)</f>
        <v>48.035411108416206</v>
      </c>
      <c r="D32" s="233"/>
      <c r="G32" s="15"/>
    </row>
    <row r="33" spans="1:7">
      <c r="A33" s="171" t="s">
        <v>72</v>
      </c>
      <c r="B33" s="34" t="s">
        <v>111</v>
      </c>
      <c r="C33" s="167"/>
      <c r="D33" s="233"/>
      <c r="G33" s="15"/>
    </row>
    <row r="34" spans="1:7">
      <c r="A34" s="171" t="s">
        <v>73</v>
      </c>
      <c r="B34" s="33">
        <f>IF((($B$28-$B$32-$B$39-$B$77-$B$38)*C20/100)&lt;0,0,($B$28-$B$32-$B$39-$B$77-$B$38)*C20/100)</f>
        <v>495.63215258855581</v>
      </c>
      <c r="C34" s="167">
        <f>IF(ISERROR(B34/SUM($B$32,$B$34,$B$35,$B$36,$B$38,$B$39)*100),0,B34/SUM($B$32,$B$34,$B$35,$B$36,$B$38,$B$39)*100)</f>
        <v>6.0105766746126097</v>
      </c>
      <c r="D34" s="233"/>
      <c r="G34" s="15"/>
    </row>
    <row r="35" spans="1:7">
      <c r="A35" s="171" t="s">
        <v>74</v>
      </c>
      <c r="B35" s="33">
        <f>IF((($B$28-$B$32-$B$39-$B$77-$B$38)*C21/100)&lt;0,0,($B$28-$B$32-$B$39-$B$77-$B$38)*C21/100)</f>
        <v>2259.7465940054499</v>
      </c>
      <c r="C35" s="167">
        <f>IF(ISERROR(B35/SUM($B$32,$B$34,$B$35,$B$36,$B$38,$B$39)*100),0,B35/SUM($B$32,$B$34,$B$35,$B$36,$B$38,$B$39)*100)</f>
        <v>27.404154668996483</v>
      </c>
      <c r="D35" s="233"/>
      <c r="G35" s="15"/>
    </row>
    <row r="36" spans="1:7">
      <c r="A36" s="171" t="s">
        <v>75</v>
      </c>
      <c r="B36" s="33">
        <f>IF((($B$28-$B$32-$B$39-$B$77-$B$38)*C22/100)&lt;0,0,($B$28-$B$32-$B$39-$B$77-$B$38)*C22/100)</f>
        <v>327.62125340599454</v>
      </c>
      <c r="C36" s="167">
        <f>IF(ISERROR(B36/SUM($B$32,$B$34,$B$35,$B$36,$B$38,$B$39)*100),0,B36/SUM($B$32,$B$34,$B$35,$B$36,$B$38,$B$39)*100)</f>
        <v>3.9730930560998612</v>
      </c>
      <c r="D36" s="233"/>
      <c r="G36" s="15"/>
    </row>
    <row r="37" spans="1:7">
      <c r="A37" s="171" t="s">
        <v>76</v>
      </c>
      <c r="B37" s="34" t="s">
        <v>111</v>
      </c>
      <c r="C37" s="167"/>
      <c r="D37" s="173"/>
      <c r="G37" s="15"/>
    </row>
    <row r="38" spans="1:7">
      <c r="A38" s="171" t="s">
        <v>77</v>
      </c>
      <c r="B38" s="33">
        <f>IF((B24-(B29-B18)*0.1)&lt;0,0,B24-(B29-B18)*0.1)</f>
        <v>21.899999999999977</v>
      </c>
      <c r="C38" s="167">
        <f>IF(ISERROR(B38/SUM($B$32,$B$34,$B$35,$B$36,$B$38,$B$39)*100),0,B38/SUM($B$32,$B$34,$B$35,$B$36,$B$38,$B$39)*100)</f>
        <v>0.26558331312151318</v>
      </c>
      <c r="D38" s="234"/>
      <c r="G38" s="15"/>
    </row>
    <row r="39" spans="1:7">
      <c r="A39" s="171" t="s">
        <v>78</v>
      </c>
      <c r="B39" s="33">
        <f>IF((B25-(B29-B18))&lt;0,0,B25-(B29-B18)*0.9)</f>
        <v>1180.0999999999999</v>
      </c>
      <c r="C39" s="167">
        <f>IF(ISERROR(B39/SUM($B$32,$B$34,$B$35,$B$36,$B$38,$B$39)*100),0,B39/SUM($B$32,$B$34,$B$35,$B$36,$B$38,$B$39)*100)</f>
        <v>14.311181178753335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3961</v>
      </c>
      <c r="C44" s="34" t="s">
        <v>111</v>
      </c>
      <c r="D44" s="174"/>
    </row>
    <row r="45" spans="1:7">
      <c r="A45" s="171" t="s">
        <v>72</v>
      </c>
      <c r="B45" s="33" t="str">
        <f t="shared" si="0"/>
        <v>-</v>
      </c>
      <c r="C45" s="34" t="s">
        <v>111</v>
      </c>
      <c r="D45" s="174"/>
    </row>
    <row r="46" spans="1:7">
      <c r="A46" s="171" t="s">
        <v>73</v>
      </c>
      <c r="B46" s="33">
        <f t="shared" si="0"/>
        <v>495.63215258855581</v>
      </c>
      <c r="C46" s="34" t="s">
        <v>111</v>
      </c>
      <c r="D46" s="174"/>
    </row>
    <row r="47" spans="1:7">
      <c r="A47" s="171" t="s">
        <v>74</v>
      </c>
      <c r="B47" s="33">
        <f t="shared" si="0"/>
        <v>2259.7465940054499</v>
      </c>
      <c r="C47" s="34" t="s">
        <v>111</v>
      </c>
      <c r="D47" s="174"/>
    </row>
    <row r="48" spans="1:7">
      <c r="A48" s="171" t="s">
        <v>75</v>
      </c>
      <c r="B48" s="33">
        <f t="shared" si="0"/>
        <v>327.62125340599454</v>
      </c>
      <c r="C48" s="33">
        <f>B48*10</f>
        <v>3276.2125340599455</v>
      </c>
      <c r="D48" s="234"/>
    </row>
    <row r="49" spans="1:6">
      <c r="A49" s="171" t="s">
        <v>76</v>
      </c>
      <c r="B49" s="33" t="str">
        <f t="shared" si="0"/>
        <v>-</v>
      </c>
      <c r="C49" s="34" t="s">
        <v>111</v>
      </c>
      <c r="D49" s="234"/>
    </row>
    <row r="50" spans="1:6">
      <c r="A50" s="171" t="s">
        <v>77</v>
      </c>
      <c r="B50" s="33">
        <f t="shared" si="0"/>
        <v>21.899999999999977</v>
      </c>
      <c r="C50" s="33">
        <f>B50*2</f>
        <v>43.799999999999955</v>
      </c>
      <c r="D50" s="234"/>
    </row>
    <row r="51" spans="1:6">
      <c r="A51" s="171" t="s">
        <v>78</v>
      </c>
      <c r="B51" s="33">
        <f t="shared" si="0"/>
        <v>1180.0999999999999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392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118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27822.6893962131</v>
      </c>
      <c r="C5" s="17">
        <f>IF(ISERROR('Eigen informatie GS &amp; warmtenet'!B58),0,'Eigen informatie GS &amp; warmtenet'!B58)</f>
        <v>0</v>
      </c>
      <c r="D5" s="30">
        <f>SUM(D6:D12)</f>
        <v>25849.69316400215</v>
      </c>
      <c r="E5" s="17">
        <f>SUM(E6:E12)</f>
        <v>434.27428845189274</v>
      </c>
      <c r="F5" s="17">
        <f>SUM(F6:F12)</f>
        <v>4898.0102415204874</v>
      </c>
      <c r="G5" s="18"/>
      <c r="H5" s="17"/>
      <c r="I5" s="17"/>
      <c r="J5" s="17">
        <f>SUM(J6:J12)</f>
        <v>6.958407166083036E-2</v>
      </c>
      <c r="K5" s="17"/>
      <c r="L5" s="17"/>
      <c r="M5" s="17"/>
      <c r="N5" s="17">
        <f>SUM(N6:N12)</f>
        <v>2768.8550888624218</v>
      </c>
      <c r="O5" s="17">
        <f>B38*B39*B40</f>
        <v>14.070000000000002</v>
      </c>
      <c r="P5" s="17">
        <f>B46*B47*B48/1000-B46*B47*B48/1000/B49</f>
        <v>171.6</v>
      </c>
      <c r="R5" s="32"/>
    </row>
    <row r="6" spans="1:18">
      <c r="A6" s="32" t="s">
        <v>54</v>
      </c>
      <c r="B6" s="37">
        <f>B26</f>
        <v>5736.9952919707102</v>
      </c>
      <c r="C6" s="33"/>
      <c r="D6" s="37">
        <f>IF(ISERROR(TER_kantoor_gas_kWh/1000),0,TER_kantoor_gas_kWh/1000)*0.902</f>
        <v>3195.6215387892321</v>
      </c>
      <c r="E6" s="33">
        <f>$C$26*'E Balans VL '!I12/100/3.6*1000000</f>
        <v>3.5957578395331299E-2</v>
      </c>
      <c r="F6" s="33">
        <f>$C$26*('E Balans VL '!L12+'E Balans VL '!N12)/100/3.6*1000000</f>
        <v>862.11008544566437</v>
      </c>
      <c r="G6" s="34"/>
      <c r="H6" s="33"/>
      <c r="I6" s="33"/>
      <c r="J6" s="33">
        <f>$C$26*('E Balans VL '!D12+'E Balans VL '!E12)/100/3.6*1000000</f>
        <v>0</v>
      </c>
      <c r="K6" s="33"/>
      <c r="L6" s="33"/>
      <c r="M6" s="33"/>
      <c r="N6" s="33">
        <f>$C$26*'E Balans VL '!Y12/100/3.6*1000000</f>
        <v>5.4865853938692446</v>
      </c>
      <c r="O6" s="33"/>
      <c r="P6" s="33"/>
      <c r="R6" s="32"/>
    </row>
    <row r="7" spans="1:18">
      <c r="A7" s="32" t="s">
        <v>53</v>
      </c>
      <c r="B7" s="37">
        <f t="shared" ref="B7:B12" si="0">B27</f>
        <v>2657.3122397410102</v>
      </c>
      <c r="C7" s="33"/>
      <c r="D7" s="37">
        <f>IF(ISERROR(TER_horeca_gas_kWh/1000),0,TER_horeca_gas_kWh/1000)*0.902</f>
        <v>3038.7936256256889</v>
      </c>
      <c r="E7" s="33">
        <f>$C$27*'E Balans VL '!I9/100/3.6*1000000</f>
        <v>38.052268649368159</v>
      </c>
      <c r="F7" s="33">
        <f>$C$27*('E Balans VL '!L9+'E Balans VL '!N9)/100/3.6*1000000</f>
        <v>336.50337108534433</v>
      </c>
      <c r="G7" s="34"/>
      <c r="H7" s="33"/>
      <c r="I7" s="33"/>
      <c r="J7" s="33">
        <f>$C$27*('E Balans VL '!D9+'E Balans VL '!E9)/100/3.6*1000000</f>
        <v>0</v>
      </c>
      <c r="K7" s="33"/>
      <c r="L7" s="33"/>
      <c r="M7" s="33"/>
      <c r="N7" s="33">
        <f>$C$27*'E Balans VL '!Y9/100/3.6*1000000</f>
        <v>0.76391868021988907</v>
      </c>
      <c r="O7" s="33"/>
      <c r="P7" s="33"/>
      <c r="R7" s="32"/>
    </row>
    <row r="8" spans="1:18">
      <c r="A8" s="6" t="s">
        <v>52</v>
      </c>
      <c r="B8" s="37">
        <f t="shared" si="0"/>
        <v>7940.7681247916207</v>
      </c>
      <c r="C8" s="33"/>
      <c r="D8" s="37">
        <f>IF(ISERROR(TER_handel_gas_kWh/1000),0,TER_handel_gas_kWh/1000)*0.902</f>
        <v>3345.3902036595709</v>
      </c>
      <c r="E8" s="33">
        <f>$C$28*'E Balans VL '!I13/100/3.6*1000000</f>
        <v>288.01068067453718</v>
      </c>
      <c r="F8" s="33">
        <f>$C$28*('E Balans VL '!L13+'E Balans VL '!N13)/100/3.6*1000000</f>
        <v>1529.472346224145</v>
      </c>
      <c r="G8" s="34"/>
      <c r="H8" s="33"/>
      <c r="I8" s="33"/>
      <c r="J8" s="33">
        <f>$C$28*('E Balans VL '!D13+'E Balans VL '!E13)/100/3.6*1000000</f>
        <v>0</v>
      </c>
      <c r="K8" s="33"/>
      <c r="L8" s="33"/>
      <c r="M8" s="33"/>
      <c r="N8" s="33">
        <f>$C$28*'E Balans VL '!Y13/100/3.6*1000000</f>
        <v>10.999790942096171</v>
      </c>
      <c r="O8" s="33"/>
      <c r="P8" s="33"/>
      <c r="R8" s="32"/>
    </row>
    <row r="9" spans="1:18">
      <c r="A9" s="32" t="s">
        <v>51</v>
      </c>
      <c r="B9" s="37">
        <f t="shared" si="0"/>
        <v>746.30726224799901</v>
      </c>
      <c r="C9" s="33"/>
      <c r="D9" s="37">
        <f>IF(ISERROR(TER_gezond_gas_kWh/1000),0,TER_gezond_gas_kWh/1000)*0.902</f>
        <v>732.76996627893448</v>
      </c>
      <c r="E9" s="33">
        <f>$C$29*'E Balans VL '!I10/100/3.6*1000000</f>
        <v>4.6726203069751421E-2</v>
      </c>
      <c r="F9" s="33">
        <f>$C$29*('E Balans VL '!L10+'E Balans VL '!N10)/100/3.6*1000000</f>
        <v>110.86621609615243</v>
      </c>
      <c r="G9" s="34"/>
      <c r="H9" s="33"/>
      <c r="I9" s="33"/>
      <c r="J9" s="33">
        <f>$C$29*('E Balans VL '!D10+'E Balans VL '!E10)/100/3.6*1000000</f>
        <v>0</v>
      </c>
      <c r="K9" s="33"/>
      <c r="L9" s="33"/>
      <c r="M9" s="33"/>
      <c r="N9" s="33">
        <f>$C$29*'E Balans VL '!Y10/100/3.6*1000000</f>
        <v>11.543952744947214</v>
      </c>
      <c r="O9" s="33"/>
      <c r="P9" s="33"/>
      <c r="R9" s="32"/>
    </row>
    <row r="10" spans="1:18">
      <c r="A10" s="32" t="s">
        <v>50</v>
      </c>
      <c r="B10" s="37">
        <f t="shared" si="0"/>
        <v>2270.33526268882</v>
      </c>
      <c r="C10" s="33"/>
      <c r="D10" s="37">
        <f>IF(ISERROR(TER_ander_gas_kWh/1000),0,TER_ander_gas_kWh/1000)*0.902</f>
        <v>3209.8590646087805</v>
      </c>
      <c r="E10" s="33">
        <f>$C$30*'E Balans VL '!I14/100/3.6*1000000</f>
        <v>2.7061585050510208</v>
      </c>
      <c r="F10" s="33">
        <f>$C$30*('E Balans VL '!L14+'E Balans VL '!N14)/100/3.6*1000000</f>
        <v>594.02063589772263</v>
      </c>
      <c r="G10" s="34"/>
      <c r="H10" s="33"/>
      <c r="I10" s="33"/>
      <c r="J10" s="33">
        <f>$C$30*('E Balans VL '!D14+'E Balans VL '!E14)/100/3.6*1000000</f>
        <v>4.9280079084476305E-2</v>
      </c>
      <c r="K10" s="33"/>
      <c r="L10" s="33"/>
      <c r="M10" s="33"/>
      <c r="N10" s="33">
        <f>$C$30*'E Balans VL '!Y14/100/3.6*1000000</f>
        <v>1927.9131507534505</v>
      </c>
      <c r="O10" s="33"/>
      <c r="P10" s="33"/>
      <c r="R10" s="32"/>
    </row>
    <row r="11" spans="1:18">
      <c r="A11" s="32" t="s">
        <v>55</v>
      </c>
      <c r="B11" s="37">
        <f t="shared" si="0"/>
        <v>86.176263988619695</v>
      </c>
      <c r="C11" s="33"/>
      <c r="D11" s="37">
        <f>IF(ISERROR(TER_onderwijs_gas_kWh/1000),0,TER_onderwijs_gas_kWh/1000)*0.902</f>
        <v>607.0285443104035</v>
      </c>
      <c r="E11" s="33">
        <f>$C$31*'E Balans VL '!I11/100/3.6*1000000</f>
        <v>1.3002610235166612</v>
      </c>
      <c r="F11" s="33">
        <f>$C$31*('E Balans VL '!L11+'E Balans VL '!N11)/100/3.6*1000000</f>
        <v>15.099458157579955</v>
      </c>
      <c r="G11" s="34"/>
      <c r="H11" s="33"/>
      <c r="I11" s="33"/>
      <c r="J11" s="33">
        <f>$C$31*('E Balans VL '!D11+'E Balans VL '!E11)/100/3.6*1000000</f>
        <v>0</v>
      </c>
      <c r="K11" s="33"/>
      <c r="L11" s="33"/>
      <c r="M11" s="33"/>
      <c r="N11" s="33">
        <f>$C$31*'E Balans VL '!Y11/100/3.6*1000000</f>
        <v>0.24250655823305262</v>
      </c>
      <c r="O11" s="33"/>
      <c r="P11" s="33"/>
      <c r="R11" s="32"/>
    </row>
    <row r="12" spans="1:18">
      <c r="A12" s="32" t="s">
        <v>260</v>
      </c>
      <c r="B12" s="37">
        <f t="shared" si="0"/>
        <v>8384.7949507843205</v>
      </c>
      <c r="C12" s="33"/>
      <c r="D12" s="37">
        <f>IF(ISERROR(TER_rest_gas_kWh/1000),0,TER_rest_gas_kWh/1000)*0.902</f>
        <v>11720.230220729538</v>
      </c>
      <c r="E12" s="33">
        <f>$C$32*'E Balans VL '!I8/100/3.6*1000000</f>
        <v>104.12223581795469</v>
      </c>
      <c r="F12" s="33">
        <f>$C$32*('E Balans VL '!L8+'E Balans VL '!N8)/100/3.6*1000000</f>
        <v>1449.9381286138785</v>
      </c>
      <c r="G12" s="34"/>
      <c r="H12" s="33"/>
      <c r="I12" s="33"/>
      <c r="J12" s="33">
        <f>$C$32*('E Balans VL '!D8+'E Balans VL '!E8)/100/3.6*1000000</f>
        <v>2.0303992576354051E-2</v>
      </c>
      <c r="K12" s="33"/>
      <c r="L12" s="33"/>
      <c r="M12" s="33"/>
      <c r="N12" s="33">
        <f>$C$32*'E Balans VL '!Y8/100/3.6*1000000</f>
        <v>811.90518378960564</v>
      </c>
      <c r="O12" s="33"/>
      <c r="P12" s="33"/>
      <c r="R12" s="32"/>
    </row>
    <row r="13" spans="1:18">
      <c r="A13" s="16" t="s">
        <v>488</v>
      </c>
      <c r="B13" s="247">
        <f ca="1">'lokale energieproductie'!N90+'lokale energieproductie'!N59</f>
        <v>164.25000000000003</v>
      </c>
      <c r="C13" s="247">
        <f ca="1">'lokale energieproductie'!O90+'lokale energieproductie'!O59</f>
        <v>234.6428571428572</v>
      </c>
      <c r="D13" s="310">
        <f ca="1">('lokale energieproductie'!P59+'lokale energieproductie'!P90)*(-1)</f>
        <v>-469.28571428571439</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27986.9393962131</v>
      </c>
      <c r="C16" s="21">
        <f t="shared" ca="1" si="1"/>
        <v>234.6428571428572</v>
      </c>
      <c r="D16" s="21">
        <f t="shared" ca="1" si="1"/>
        <v>25380.407449716437</v>
      </c>
      <c r="E16" s="21">
        <f t="shared" si="1"/>
        <v>434.27428845189274</v>
      </c>
      <c r="F16" s="21">
        <f t="shared" ca="1" si="1"/>
        <v>4898.0102415204874</v>
      </c>
      <c r="G16" s="21">
        <f t="shared" si="1"/>
        <v>0</v>
      </c>
      <c r="H16" s="21">
        <f t="shared" si="1"/>
        <v>0</v>
      </c>
      <c r="I16" s="21">
        <f t="shared" si="1"/>
        <v>0</v>
      </c>
      <c r="J16" s="21">
        <f t="shared" si="1"/>
        <v>6.958407166083036E-2</v>
      </c>
      <c r="K16" s="21">
        <f t="shared" si="1"/>
        <v>0</v>
      </c>
      <c r="L16" s="21">
        <f t="shared" ca="1" si="1"/>
        <v>0</v>
      </c>
      <c r="M16" s="21">
        <f t="shared" si="1"/>
        <v>0</v>
      </c>
      <c r="N16" s="21">
        <f t="shared" ca="1" si="1"/>
        <v>2768.8550888624218</v>
      </c>
      <c r="O16" s="21">
        <f>O5</f>
        <v>14.070000000000002</v>
      </c>
      <c r="P16" s="21">
        <f>P5</f>
        <v>171.6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0.18878310762268222</v>
      </c>
      <c r="C18" s="25">
        <f ca="1">'EF ele_warmte'!B22</f>
        <v>3.0260309251905894E-3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5283.4613920647826</v>
      </c>
      <c r="C20" s="23">
        <f t="shared" ref="C20:P20" ca="1" si="2">C16*C18</f>
        <v>0.7100365420893634</v>
      </c>
      <c r="D20" s="23">
        <f t="shared" ca="1" si="2"/>
        <v>5126.8423048427203</v>
      </c>
      <c r="E20" s="23">
        <f t="shared" si="2"/>
        <v>98.580263478579653</v>
      </c>
      <c r="F20" s="23">
        <f t="shared" ca="1" si="2"/>
        <v>1307.7687344859703</v>
      </c>
      <c r="G20" s="23">
        <f t="shared" si="2"/>
        <v>0</v>
      </c>
      <c r="H20" s="23">
        <f t="shared" si="2"/>
        <v>0</v>
      </c>
      <c r="I20" s="23">
        <f t="shared" si="2"/>
        <v>0</v>
      </c>
      <c r="J20" s="23">
        <f t="shared" si="2"/>
        <v>2.4632761367933947E-2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5736.9952919707102</v>
      </c>
      <c r="C26" s="39">
        <f>IF(ISERROR(B26*3.6/1000000/'E Balans VL '!Z12*100),0,B26*3.6/1000000/'E Balans VL '!Z12*100)</f>
        <v>0.12127099233762363</v>
      </c>
      <c r="D26" s="237" t="s">
        <v>754</v>
      </c>
      <c r="F26" s="6"/>
    </row>
    <row r="27" spans="1:18">
      <c r="A27" s="231" t="s">
        <v>53</v>
      </c>
      <c r="B27" s="33">
        <f>IF(ISERROR(TER_horeca_ele_kWh/1000),0,TER_horeca_ele_kWh/1000)</f>
        <v>2657.3122397410102</v>
      </c>
      <c r="C27" s="39">
        <f>IF(ISERROR(B27*3.6/1000000/'E Balans VL '!Z9*100),0,B27*3.6/1000000/'E Balans VL '!Z9*100)</f>
        <v>0.20947493342794876</v>
      </c>
      <c r="D27" s="237" t="s">
        <v>754</v>
      </c>
      <c r="F27" s="6"/>
    </row>
    <row r="28" spans="1:18">
      <c r="A28" s="171" t="s">
        <v>52</v>
      </c>
      <c r="B28" s="33">
        <f>IF(ISERROR(TER_handel_ele_kWh/1000),0,TER_handel_ele_kWh/1000)</f>
        <v>7940.7681247916207</v>
      </c>
      <c r="C28" s="39">
        <f>IF(ISERROR(B28*3.6/1000000/'E Balans VL '!Z13*100),0,B28*3.6/1000000/'E Balans VL '!Z13*100)</f>
        <v>0.23047317527991851</v>
      </c>
      <c r="D28" s="237" t="s">
        <v>754</v>
      </c>
      <c r="F28" s="6"/>
    </row>
    <row r="29" spans="1:18">
      <c r="A29" s="231" t="s">
        <v>51</v>
      </c>
      <c r="B29" s="33">
        <f>IF(ISERROR(TER_gezond_ele_kWh/1000),0,TER_gezond_ele_kWh/1000)</f>
        <v>746.30726224799901</v>
      </c>
      <c r="C29" s="39">
        <f>IF(ISERROR(B29*3.6/1000000/'E Balans VL '!Z10*100),0,B29*3.6/1000000/'E Balans VL '!Z10*100)</f>
        <v>7.859840940343682E-2</v>
      </c>
      <c r="D29" s="237" t="s">
        <v>754</v>
      </c>
      <c r="F29" s="6"/>
    </row>
    <row r="30" spans="1:18">
      <c r="A30" s="231" t="s">
        <v>50</v>
      </c>
      <c r="B30" s="33">
        <f>IF(ISERROR(TER_ander_ele_kWh/1000),0,TER_ander_ele_kWh/1000)</f>
        <v>2270.33526268882</v>
      </c>
      <c r="C30" s="39">
        <f>IF(ISERROR(B30*3.6/1000000/'E Balans VL '!Z14*100),0,B30*3.6/1000000/'E Balans VL '!Z14*100)</f>
        <v>0.16746042209029349</v>
      </c>
      <c r="D30" s="237" t="s">
        <v>754</v>
      </c>
      <c r="F30" s="6"/>
    </row>
    <row r="31" spans="1:18">
      <c r="A31" s="231" t="s">
        <v>55</v>
      </c>
      <c r="B31" s="33">
        <f>IF(ISERROR(TER_onderwijs_ele_kWh/1000),0,TER_onderwijs_ele_kWh/1000)</f>
        <v>86.176263988619695</v>
      </c>
      <c r="C31" s="39">
        <f>IF(ISERROR(B31*3.6/1000000/'E Balans VL '!Z11*100),0,B31*3.6/1000000/'E Balans VL '!Z11*100)</f>
        <v>2.1401603082311073E-2</v>
      </c>
      <c r="D31" s="237" t="s">
        <v>754</v>
      </c>
    </row>
    <row r="32" spans="1:18">
      <c r="A32" s="231" t="s">
        <v>260</v>
      </c>
      <c r="B32" s="33">
        <f>IF(ISERROR(TER_rest_ele_kWh/1000),0,TER_rest_ele_kWh/1000)</f>
        <v>8384.7949507843205</v>
      </c>
      <c r="C32" s="39">
        <f>IF(ISERROR(B32*3.6/1000000/'E Balans VL '!Z8*100),0,B32*3.6/1000000/'E Balans VL '!Z8*100)</f>
        <v>6.8995732761019529E-2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9</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9</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85384.23048672179</v>
      </c>
      <c r="C5" s="17">
        <f>IF(ISERROR('Eigen informatie GS &amp; warmtenet'!B59),0,'Eigen informatie GS &amp; warmtenet'!B59)</f>
        <v>0</v>
      </c>
      <c r="D5" s="30">
        <f>SUM(D6:D15)</f>
        <v>185572.79968288049</v>
      </c>
      <c r="E5" s="17">
        <f>SUM(E6:E15)</f>
        <v>1472.6837502655126</v>
      </c>
      <c r="F5" s="17">
        <f>SUM(F6:F15)</f>
        <v>8633.9693278702307</v>
      </c>
      <c r="G5" s="18"/>
      <c r="H5" s="17"/>
      <c r="I5" s="17"/>
      <c r="J5" s="17">
        <f>SUM(J6:J15)</f>
        <v>34.355603507148714</v>
      </c>
      <c r="K5" s="17"/>
      <c r="L5" s="17"/>
      <c r="M5" s="17"/>
      <c r="N5" s="17">
        <f>SUM(N6:N15)</f>
        <v>30808.043212841687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1729.3089935374501</v>
      </c>
      <c r="C8" s="33"/>
      <c r="D8" s="37">
        <f>IF( ISERROR(IND_metaal_Gas_kWH/1000),0,IND_metaal_Gas_kWH/1000)*0.902</f>
        <v>310.42284606961039</v>
      </c>
      <c r="E8" s="33">
        <f>C30*'E Balans VL '!I18/100/3.6*1000000</f>
        <v>15.899326013067411</v>
      </c>
      <c r="F8" s="33">
        <f>C30*'E Balans VL '!L18/100/3.6*1000000+C30*'E Balans VL '!N18/100/3.6*1000000</f>
        <v>162.15160906946065</v>
      </c>
      <c r="G8" s="34"/>
      <c r="H8" s="33"/>
      <c r="I8" s="33"/>
      <c r="J8" s="40">
        <f>C30*'E Balans VL '!D18/100/3.6*1000000+C30*'E Balans VL '!E18/100/3.6*1000000</f>
        <v>0</v>
      </c>
      <c r="K8" s="33"/>
      <c r="L8" s="33"/>
      <c r="M8" s="33"/>
      <c r="N8" s="33">
        <f>C30*'E Balans VL '!Y18/100/3.6*1000000</f>
        <v>24.671450596268642</v>
      </c>
      <c r="O8" s="33"/>
      <c r="P8" s="33"/>
      <c r="R8" s="32"/>
    </row>
    <row r="9" spans="1:18">
      <c r="A9" s="6" t="s">
        <v>33</v>
      </c>
      <c r="B9" s="37">
        <f t="shared" si="0"/>
        <v>2728.8098378876098</v>
      </c>
      <c r="C9" s="33"/>
      <c r="D9" s="37">
        <f>IF( ISERROR(IND_andere_gas_kWh/1000),0,IND_andere_gas_kWh/1000)*0.902</f>
        <v>2074.3842310820032</v>
      </c>
      <c r="E9" s="33">
        <f>C31*'E Balans VL '!I19/100/3.6*1000000</f>
        <v>797.68423927619222</v>
      </c>
      <c r="F9" s="33">
        <f>C31*'E Balans VL '!L19/100/3.6*1000000+C31*'E Balans VL '!N19/100/3.6*1000000</f>
        <v>2192.8052566682086</v>
      </c>
      <c r="G9" s="34"/>
      <c r="H9" s="33"/>
      <c r="I9" s="33"/>
      <c r="J9" s="40">
        <f>C31*'E Balans VL '!D19/100/3.6*1000000+C31*'E Balans VL '!E19/100/3.6*1000000</f>
        <v>0</v>
      </c>
      <c r="K9" s="33"/>
      <c r="L9" s="33"/>
      <c r="M9" s="33"/>
      <c r="N9" s="33">
        <f>C31*'E Balans VL '!Y19/100/3.6*1000000</f>
        <v>901.64109127810184</v>
      </c>
      <c r="O9" s="33"/>
      <c r="P9" s="33"/>
      <c r="R9" s="32"/>
    </row>
    <row r="10" spans="1:18">
      <c r="A10" s="6" t="s">
        <v>41</v>
      </c>
      <c r="B10" s="37">
        <f t="shared" si="0"/>
        <v>63140.947724142301</v>
      </c>
      <c r="C10" s="33"/>
      <c r="D10" s="37">
        <f>IF( ISERROR(IND_voed_gas_kWh/1000),0,IND_voed_gas_kWh/1000)*0.902</f>
        <v>4425.6067763922929</v>
      </c>
      <c r="E10" s="33">
        <f>C32*'E Balans VL '!I20/100/3.6*1000000</f>
        <v>133.57565392241278</v>
      </c>
      <c r="F10" s="33">
        <f>C32*'E Balans VL '!L20/100/3.6*1000000+C32*'E Balans VL '!N20/100/3.6*1000000</f>
        <v>4014.5659528877336</v>
      </c>
      <c r="G10" s="34"/>
      <c r="H10" s="33"/>
      <c r="I10" s="33"/>
      <c r="J10" s="40">
        <f>C32*'E Balans VL '!D20/100/3.6*1000000+C32*'E Balans VL '!E20/100/3.6*1000000</f>
        <v>0</v>
      </c>
      <c r="K10" s="33"/>
      <c r="L10" s="33"/>
      <c r="M10" s="33"/>
      <c r="N10" s="33">
        <f>C32*'E Balans VL '!Y20/100/3.6*1000000</f>
        <v>4357.3484830629059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934.467075020587</v>
      </c>
      <c r="C12" s="33"/>
      <c r="D12" s="37">
        <f>IF( ISERROR(IND_min_gas_kWh/1000),0,IND_min_gas_kWh/1000)*0.902</f>
        <v>2033.4845455464119</v>
      </c>
      <c r="E12" s="33">
        <f>C34*'E Balans VL '!I22/100/3.6*1000000</f>
        <v>27.086352683290379</v>
      </c>
      <c r="F12" s="33">
        <f>C34*'E Balans VL '!L22/100/3.6*1000000+C34*'E Balans VL '!N22/100/3.6*1000000</f>
        <v>321.2803401053709</v>
      </c>
      <c r="G12" s="34"/>
      <c r="H12" s="33"/>
      <c r="I12" s="33"/>
      <c r="J12" s="40">
        <f>C34*'E Balans VL '!D22/100/3.6*1000000+C34*'E Balans VL '!E22/100/3.6*1000000</f>
        <v>1.5356110017114861</v>
      </c>
      <c r="K12" s="33"/>
      <c r="L12" s="33"/>
      <c r="M12" s="33"/>
      <c r="N12" s="33">
        <f>C34*'E Balans VL '!Y22/100/3.6*1000000</f>
        <v>204.5701990916462</v>
      </c>
      <c r="O12" s="33"/>
      <c r="P12" s="33"/>
      <c r="R12" s="32"/>
    </row>
    <row r="13" spans="1:18">
      <c r="A13" s="6" t="s">
        <v>39</v>
      </c>
      <c r="B13" s="37">
        <f t="shared" si="0"/>
        <v>8029.9560329365204</v>
      </c>
      <c r="C13" s="33"/>
      <c r="D13" s="37">
        <f>IF( ISERROR(IND_papier_gas_kWh/1000),0,IND_papier_gas_kWh/1000)*0.902</f>
        <v>9132.8240386375237</v>
      </c>
      <c r="E13" s="33">
        <f>C35*'E Balans VL '!I23/100/3.6*1000000</f>
        <v>11.392671174048413</v>
      </c>
      <c r="F13" s="33">
        <f>C35*'E Balans VL '!L23/100/3.6*1000000+C35*'E Balans VL '!N23/100/3.6*1000000</f>
        <v>196.04142134544213</v>
      </c>
      <c r="G13" s="34"/>
      <c r="H13" s="33"/>
      <c r="I13" s="33"/>
      <c r="J13" s="40">
        <f>C35*'E Balans VL '!D23/100/3.6*1000000+C35*'E Balans VL '!E23/100/3.6*1000000</f>
        <v>1.241908090314934</v>
      </c>
      <c r="K13" s="33"/>
      <c r="L13" s="33"/>
      <c r="M13" s="33"/>
      <c r="N13" s="33">
        <f>C35*'E Balans VL '!Y23/100/3.6*1000000</f>
        <v>23341.181366592606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8820.7408231973204</v>
      </c>
      <c r="C15" s="33"/>
      <c r="D15" s="37">
        <f>IF( ISERROR(IND_rest_gas_kWh/1000),0,IND_rest_gas_kWh/1000)*0.902</f>
        <v>167596.07724515264</v>
      </c>
      <c r="E15" s="33">
        <f>C37*'E Balans VL '!I15/100/3.6*1000000</f>
        <v>487.04550719650138</v>
      </c>
      <c r="F15" s="33">
        <f>C37*'E Balans VL '!L15/100/3.6*1000000+C37*'E Balans VL '!N15/100/3.6*1000000</f>
        <v>1747.1247477940155</v>
      </c>
      <c r="G15" s="34"/>
      <c r="H15" s="33"/>
      <c r="I15" s="33"/>
      <c r="J15" s="40">
        <f>C37*'E Balans VL '!D15/100/3.6*1000000+C37*'E Balans VL '!E15/100/3.6*1000000</f>
        <v>31.578084415122294</v>
      </c>
      <c r="K15" s="33"/>
      <c r="L15" s="33"/>
      <c r="M15" s="33"/>
      <c r="N15" s="33">
        <f>C37*'E Balans VL '!Y15/100/3.6*1000000</f>
        <v>1978.6306222201586</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85384.23048672179</v>
      </c>
      <c r="C18" s="21">
        <f>C5+C16</f>
        <v>0</v>
      </c>
      <c r="D18" s="21">
        <f>MAX((D5+D16),0)</f>
        <v>185572.79968288049</v>
      </c>
      <c r="E18" s="21">
        <f>MAX((E5+E16),0)</f>
        <v>1472.6837502655126</v>
      </c>
      <c r="F18" s="21">
        <f>MAX((F5+F16),0)</f>
        <v>8633.9693278702307</v>
      </c>
      <c r="G18" s="21"/>
      <c r="H18" s="21"/>
      <c r="I18" s="21"/>
      <c r="J18" s="21">
        <f>MAX((J5+J16),0)</f>
        <v>34.355603507148714</v>
      </c>
      <c r="K18" s="21"/>
      <c r="L18" s="21">
        <f>MAX((L5+L16),0)</f>
        <v>0</v>
      </c>
      <c r="M18" s="21"/>
      <c r="N18" s="21">
        <f>MAX((N5+N16),0)</f>
        <v>30808.043212841687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0.18878310762268222</v>
      </c>
      <c r="C20" s="25">
        <f ca="1">'EF ele_warmte'!B22</f>
        <v>3.0260309251905894E-3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16119.100373254703</v>
      </c>
      <c r="C22" s="23">
        <f ca="1">C18*C20</f>
        <v>0</v>
      </c>
      <c r="D22" s="23">
        <f>D18*D20</f>
        <v>37485.705535941859</v>
      </c>
      <c r="E22" s="23">
        <f>E18*E20</f>
        <v>334.29921131027135</v>
      </c>
      <c r="F22" s="23">
        <f>F18*F20</f>
        <v>2305.2698105413519</v>
      </c>
      <c r="G22" s="23"/>
      <c r="H22" s="23"/>
      <c r="I22" s="23"/>
      <c r="J22" s="23">
        <f>J18*J20</f>
        <v>12.161883641530645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1729.3089935374501</v>
      </c>
      <c r="C30" s="39">
        <f>IF(ISERROR(B30*3.6/1000000/'E Balans VL '!Z18*100),0,B30*3.6/1000000/'E Balans VL '!Z18*100)</f>
        <v>9.8004374902047373E-2</v>
      </c>
      <c r="D30" s="237" t="s">
        <v>754</v>
      </c>
    </row>
    <row r="31" spans="1:18">
      <c r="A31" s="6" t="s">
        <v>33</v>
      </c>
      <c r="B31" s="37">
        <f>IF( ISERROR(IND_ander_ele_kWh/1000),0,IND_ander_ele_kWh/1000)</f>
        <v>2728.8098378876098</v>
      </c>
      <c r="C31" s="39">
        <f>IF(ISERROR(B31*3.6/1000000/'E Balans VL '!Z19*100),0,B31*3.6/1000000/'E Balans VL '!Z19*100)</f>
        <v>0.123767451680179</v>
      </c>
      <c r="D31" s="237" t="s">
        <v>754</v>
      </c>
    </row>
    <row r="32" spans="1:18">
      <c r="A32" s="171" t="s">
        <v>41</v>
      </c>
      <c r="B32" s="37">
        <f>IF( ISERROR(IND_voed_ele_kWh/1000),0,IND_voed_ele_kWh/1000)</f>
        <v>63140.947724142301</v>
      </c>
      <c r="C32" s="39">
        <f>IF(ISERROR(B32*3.6/1000000/'E Balans VL '!Z20*100),0,B32*3.6/1000000/'E Balans VL '!Z20*100)</f>
        <v>1.9532361488081618</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934.467075020587</v>
      </c>
      <c r="C34" s="39">
        <f>IF(ISERROR(B34*3.6/1000000/'E Balans VL '!Z22*100),0,B34*3.6/1000000/'E Balans VL '!Z22*100)</f>
        <v>0.16808147175923907</v>
      </c>
      <c r="D34" s="237" t="s">
        <v>754</v>
      </c>
    </row>
    <row r="35" spans="1:5">
      <c r="A35" s="171" t="s">
        <v>39</v>
      </c>
      <c r="B35" s="37">
        <f>IF( ISERROR(IND_papier_ele_kWh/1000),0,IND_papier_ele_kWh/1000)</f>
        <v>8029.9560329365204</v>
      </c>
      <c r="C35" s="39">
        <f>IF(ISERROR(B35*3.6/1000000/'E Balans VL '!Z22*100),0,B35*3.6/1000000/'E Balans VL '!Z22*100)</f>
        <v>1.4443385585824056</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8820.7408231973204</v>
      </c>
      <c r="C37" s="39">
        <f>IF(ISERROR(B37*3.6/1000000/'E Balans VL '!Z15*100),0,B37*3.6/1000000/'E Balans VL '!Z15*100)</f>
        <v>6.9915203923830577E-2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6467.6140334765223</v>
      </c>
      <c r="C5" s="17">
        <f>'Eigen informatie GS &amp; warmtenet'!B60</f>
        <v>0</v>
      </c>
      <c r="D5" s="30">
        <f>IF(ISERROR(SUM(LB_lb_gas_kWh,LB_rest_gas_kWh,onbekend_gas_kWh)/1000),0,SUM(LB_lb_gas_kWh,LB_rest_gas_kWh,onbekend_gas_kWh)/1000)*0.902</f>
        <v>8942.1349442019291</v>
      </c>
      <c r="E5" s="17">
        <f>B17*'E Balans VL '!I25/3.6*1000000/100</f>
        <v>190.10293081721258</v>
      </c>
      <c r="F5" s="17">
        <f>B17*('E Balans VL '!L25/3.6*1000000+'E Balans VL '!N25/3.6*1000000)/100</f>
        <v>26943.730571944816</v>
      </c>
      <c r="G5" s="18"/>
      <c r="H5" s="17"/>
      <c r="I5" s="17"/>
      <c r="J5" s="17">
        <f>('E Balans VL '!D25+'E Balans VL '!E25)/3.6*1000000*landbouw!B17/100</f>
        <v>937.01837984947963</v>
      </c>
      <c r="K5" s="17"/>
      <c r="L5" s="17">
        <f>L6*(-1)</f>
        <v>0</v>
      </c>
      <c r="M5" s="17"/>
      <c r="N5" s="17">
        <f>N6*(-1)</f>
        <v>36385.71428571429</v>
      </c>
      <c r="O5" s="17"/>
      <c r="P5" s="17"/>
      <c r="R5" s="32"/>
    </row>
    <row r="6" spans="1:18">
      <c r="A6" s="16" t="s">
        <v>488</v>
      </c>
      <c r="B6" s="17" t="s">
        <v>211</v>
      </c>
      <c r="C6" s="17">
        <f>'lokale energieproductie'!O91+'lokale energieproductie'!O60</f>
        <v>18192.857142857145</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-36385.71428571429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6467.6140334765223</v>
      </c>
      <c r="C8" s="21">
        <f>C5+C6</f>
        <v>18192.857142857145</v>
      </c>
      <c r="D8" s="21">
        <f>MAX((D5+D6),0)</f>
        <v>8942.1349442019291</v>
      </c>
      <c r="E8" s="21">
        <f>MAX((E5+E6),0)</f>
        <v>190.10293081721258</v>
      </c>
      <c r="F8" s="21">
        <f>MAX((F5+F6),0)</f>
        <v>26943.730571944816</v>
      </c>
      <c r="G8" s="21"/>
      <c r="H8" s="21"/>
      <c r="I8" s="21"/>
      <c r="J8" s="21">
        <f>MAX((J5+J6),0)</f>
        <v>937.01837984947963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0.18878310762268222</v>
      </c>
      <c r="C10" s="31">
        <f ca="1">'EF ele_warmte'!B22</f>
        <v>3.0260309251905894E-3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1220.9762761437682</v>
      </c>
      <c r="C12" s="23">
        <f ca="1">C8*C10</f>
        <v>55.052148331860231</v>
      </c>
      <c r="D12" s="23">
        <f>D8*D10</f>
        <v>1806.3112587287899</v>
      </c>
      <c r="E12" s="23">
        <f>E8*E10</f>
        <v>43.153365295507257</v>
      </c>
      <c r="F12" s="23">
        <f>F8*F10</f>
        <v>7193.9760627092664</v>
      </c>
      <c r="G12" s="23"/>
      <c r="H12" s="23"/>
      <c r="I12" s="23"/>
      <c r="J12" s="23">
        <f>J8*J10</f>
        <v>331.70450646671577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0.9177747228705202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1202.1161325577718</v>
      </c>
      <c r="C26" s="247">
        <f>B26*'GWP N2O_CH4'!B5</f>
        <v>25244.438783713209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667.68197458072757</v>
      </c>
      <c r="C27" s="247">
        <f>B27*'GWP N2O_CH4'!B5</f>
        <v>14021.321466195279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16.048967218002751</v>
      </c>
      <c r="C28" s="247">
        <f>B28*'GWP N2O_CH4'!B4</f>
        <v>4975.179837580853</v>
      </c>
      <c r="D28" s="50"/>
    </row>
    <row r="29" spans="1:4">
      <c r="A29" s="41" t="s">
        <v>277</v>
      </c>
      <c r="B29" s="247">
        <f>B34*'ha_N2O bodem landbouw'!B4</f>
        <v>32.292748214985302</v>
      </c>
      <c r="C29" s="247">
        <f>B29*'GWP N2O_CH4'!B4</f>
        <v>10010.751946645443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7.3690938568985185E-3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7.2773264516925768E-4</v>
      </c>
      <c r="C5" s="463" t="s">
        <v>211</v>
      </c>
      <c r="D5" s="448">
        <f>SUM(D6:D11)</f>
        <v>2.3964924485030256E-3</v>
      </c>
      <c r="E5" s="448">
        <f>SUM(E6:E11)</f>
        <v>3.7777358868470836E-3</v>
      </c>
      <c r="F5" s="461" t="s">
        <v>211</v>
      </c>
      <c r="G5" s="448">
        <f>SUM(G6:G11)</f>
        <v>1.6205866411822858</v>
      </c>
      <c r="H5" s="448">
        <f>SUM(H6:H11)</f>
        <v>0.27930301411263664</v>
      </c>
      <c r="I5" s="463" t="s">
        <v>211</v>
      </c>
      <c r="J5" s="463" t="s">
        <v>211</v>
      </c>
      <c r="K5" s="463" t="s">
        <v>211</v>
      </c>
      <c r="L5" s="463" t="s">
        <v>211</v>
      </c>
      <c r="M5" s="448">
        <f>SUM(M6:M11)</f>
        <v>0.10297402479029462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1.5595610448870551E-4</v>
      </c>
      <c r="C6" s="449"/>
      <c r="D6" s="962">
        <f>vkm_2011_GW_PW*SUMIFS(TableVerdeelsleutelVkm[CNG],TableVerdeelsleutelVkm[Voertuigtype],"Lichte voertuigen")*SUMIFS(TableECFTransport[EnergieConsumptieFactor (PJ per km)],TableECFTransport[Index],CONCATENATE($A6,"_CNG_CNG"))</f>
        <v>4.6777880280411818E-4</v>
      </c>
      <c r="E6" s="962">
        <f>vkm_2011_GW_PW*SUMIFS(TableVerdeelsleutelVkm[LPG],TableVerdeelsleutelVkm[Voertuigtype],"Lichte voertuigen")*SUMIFS(TableECFTransport[EnergieConsumptieFactor (PJ per km)],TableECFTransport[Index],CONCATENATE($A6,"_LPG_LPG"))</f>
        <v>6.3905303774402004E-4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0.16522982091403593</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5.3195150510339927E-2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1.1232298675060723E-2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0.14579879657184427</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4.4428738322444844E-5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8.519997546665839E-3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6.1375323805350752E-5</v>
      </c>
      <c r="C8" s="449"/>
      <c r="D8" s="451">
        <f>vkm_2011_NGW_PW*SUMIFS(TableVerdeelsleutelVkm[CNG],TableVerdeelsleutelVkm[Voertuigtype],"Lichte voertuigen")*SUMIFS(TableECFTransport[EnergieConsumptieFactor (PJ per km)],TableECFTransport[Index],CONCATENATE($A8,"_CNG_CNG"))</f>
        <v>3.2731540718856477E-4</v>
      </c>
      <c r="E8" s="451">
        <f>vkm_2011_NGW_PW*SUMIFS(TableVerdeelsleutelVkm[LPG],TableVerdeelsleutelVkm[Voertuigtype],"Lichte voertuigen")*SUMIFS(TableECFTransport[EnergieConsumptieFactor (PJ per km)],TableECFTransport[Index],CONCATENATE($A8,"_LPG_LPG"))</f>
        <v>4.1412077385814995E-4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9.9780379220783588E-2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3.6171485386430474E-2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6.9031469146191614E-3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1.110513661795875E-2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3.1857698559971624E-6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6.489414269830908E-4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5.1040121687520145E-4</v>
      </c>
      <c r="C10" s="449"/>
      <c r="D10" s="451">
        <f>vkm_2011_SW_PW*SUMIFS(TableVerdeelsleutelVkm[CNG],TableVerdeelsleutelVkm[Voertuigtype],"Lichte voertuigen")*SUMIFS(TableECFTransport[EnergieConsumptieFactor (PJ per km)],TableECFTransport[Index],CONCATENATE($A10,"_CNG_CNG"))</f>
        <v>1.6013982385103427E-3</v>
      </c>
      <c r="E10" s="451">
        <f>vkm_2011_SW_PW*SUMIFS(TableVerdeelsleutelVkm[LPG],TableVerdeelsleutelVkm[Voertuigtype],"Lichte voertuigen")*SUMIFS(TableECFTransport[EnergieConsumptieFactor (PJ per km)],TableECFTransport[Index],CONCATENATE($A10,"_LPG_LPG"))</f>
        <v>2.7245620752449138E-3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0.62801773137767292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0.18970097778825398</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4.2322057759988548E-2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0.57065477647999019</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1.8778591943381377E-4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3.3347582466977263E-2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202.14795699146046</v>
      </c>
      <c r="C14" s="21"/>
      <c r="D14" s="21">
        <f t="shared" ref="D14:M14" si="0">((D5)*10^9/3600)+D12</f>
        <v>665.69234680639602</v>
      </c>
      <c r="E14" s="21">
        <f t="shared" si="0"/>
        <v>1049.3710796797454</v>
      </c>
      <c r="F14" s="21"/>
      <c r="G14" s="21">
        <f t="shared" si="0"/>
        <v>450162.95588396827</v>
      </c>
      <c r="H14" s="21">
        <f t="shared" si="0"/>
        <v>77584.170586843509</v>
      </c>
      <c r="I14" s="21"/>
      <c r="J14" s="21"/>
      <c r="K14" s="21"/>
      <c r="L14" s="21"/>
      <c r="M14" s="21">
        <f t="shared" si="0"/>
        <v>28603.895775081837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0.18878310762268222</v>
      </c>
      <c r="C16" s="56">
        <f ca="1">'EF ele_warmte'!B22</f>
        <v>3.0260309251905894E-3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38.16211952042422</v>
      </c>
      <c r="C18" s="23"/>
      <c r="D18" s="23">
        <f t="shared" ref="D18:M18" si="1">D14*D16</f>
        <v>134.46985405489201</v>
      </c>
      <c r="E18" s="23">
        <f t="shared" si="1"/>
        <v>238.20723508730222</v>
      </c>
      <c r="F18" s="23"/>
      <c r="G18" s="23">
        <f t="shared" si="1"/>
        <v>120193.50922101953</v>
      </c>
      <c r="H18" s="23">
        <f t="shared" si="1"/>
        <v>19318.458476124033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2.3329264647349228E-3</v>
      </c>
      <c r="H50" s="321">
        <f t="shared" si="2"/>
        <v>0</v>
      </c>
      <c r="I50" s="321">
        <f t="shared" si="2"/>
        <v>0</v>
      </c>
      <c r="J50" s="321">
        <f t="shared" si="2"/>
        <v>0</v>
      </c>
      <c r="K50" s="321">
        <f t="shared" si="2"/>
        <v>0</v>
      </c>
      <c r="L50" s="321">
        <f t="shared" si="2"/>
        <v>0</v>
      </c>
      <c r="M50" s="321">
        <f t="shared" si="2"/>
        <v>1.3249992431486546E-4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2.3329264647349228E-3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1.3249992431486546E-4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648.03512909303402</v>
      </c>
      <c r="H54" s="21">
        <f t="shared" si="3"/>
        <v>0</v>
      </c>
      <c r="I54" s="21">
        <f t="shared" si="3"/>
        <v>0</v>
      </c>
      <c r="J54" s="21">
        <f t="shared" si="3"/>
        <v>0</v>
      </c>
      <c r="K54" s="21">
        <f t="shared" si="3"/>
        <v>0</v>
      </c>
      <c r="L54" s="21">
        <f t="shared" si="3"/>
        <v>0</v>
      </c>
      <c r="M54" s="21">
        <f t="shared" si="3"/>
        <v>36.805534531907071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0.18878310762268222</v>
      </c>
      <c r="C56" s="56">
        <f ca="1">'EF ele_warmte'!B22</f>
        <v>3.0260309251905894E-3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173.02537946784008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10956.737903242005</v>
      </c>
      <c r="C6" s="1204"/>
      <c r="D6" s="1189"/>
      <c r="E6" s="1189"/>
      <c r="F6" s="1207"/>
      <c r="G6" s="1210"/>
      <c r="H6" s="1201"/>
      <c r="I6" s="1189"/>
      <c r="J6" s="1189"/>
      <c r="K6" s="1189"/>
      <c r="L6" s="1193"/>
      <c r="M6" s="575"/>
      <c r="N6" s="1167"/>
      <c r="O6" s="1168"/>
      <c r="Q6" s="573"/>
      <c r="R6" s="1155"/>
      <c r="S6" s="1155"/>
    </row>
    <row r="7" spans="1:19" s="563" customFormat="1">
      <c r="A7" s="576" t="s">
        <v>252</v>
      </c>
      <c r="B7" s="577">
        <f>N57</f>
        <v>12899.25</v>
      </c>
      <c r="C7" s="578">
        <f>B100</f>
        <v>193.23529411764707</v>
      </c>
      <c r="D7" s="579"/>
      <c r="E7" s="579">
        <f>E100</f>
        <v>0</v>
      </c>
      <c r="F7" s="580"/>
      <c r="G7" s="581"/>
      <c r="H7" s="579">
        <f>I100</f>
        <v>0</v>
      </c>
      <c r="I7" s="579">
        <f>G100+F100</f>
        <v>0</v>
      </c>
      <c r="J7" s="579">
        <f>H100+D100+C100</f>
        <v>14982.35294117647</v>
      </c>
      <c r="K7" s="579"/>
      <c r="L7" s="582"/>
      <c r="M7" s="583">
        <f>C7*$C$11+D7*$D$11+E7*$E$11+F7*$F$11+G7*$G$11+H7*$H$11+I7*$I$11+J7*$J$11</f>
        <v>39.033529411764711</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23855.987903242007</v>
      </c>
      <c r="C9" s="594">
        <f t="shared" ref="C9:L9" si="0">SUM(C7:C8)</f>
        <v>193.23529411764707</v>
      </c>
      <c r="D9" s="594">
        <f t="shared" si="0"/>
        <v>0</v>
      </c>
      <c r="E9" s="594">
        <f t="shared" si="0"/>
        <v>0</v>
      </c>
      <c r="F9" s="594">
        <f t="shared" si="0"/>
        <v>0</v>
      </c>
      <c r="G9" s="594">
        <f t="shared" si="0"/>
        <v>0</v>
      </c>
      <c r="H9" s="594">
        <f t="shared" si="0"/>
        <v>0</v>
      </c>
      <c r="I9" s="594">
        <f t="shared" si="0"/>
        <v>0</v>
      </c>
      <c r="J9" s="594">
        <f t="shared" si="0"/>
        <v>14982.35294117647</v>
      </c>
      <c r="K9" s="594">
        <f t="shared" si="0"/>
        <v>0</v>
      </c>
      <c r="L9" s="594">
        <f t="shared" si="0"/>
        <v>0</v>
      </c>
      <c r="M9" s="595">
        <f>SUM(M4:M8)</f>
        <v>39.033529411764711</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18427.500000000004</v>
      </c>
      <c r="C16" s="610">
        <f>B101</f>
        <v>276.05042016806732</v>
      </c>
      <c r="D16" s="611"/>
      <c r="E16" s="611">
        <f>E101</f>
        <v>0</v>
      </c>
      <c r="F16" s="612"/>
      <c r="G16" s="613"/>
      <c r="H16" s="610">
        <f>I101</f>
        <v>0</v>
      </c>
      <c r="I16" s="611">
        <f>G101+F101</f>
        <v>0</v>
      </c>
      <c r="J16" s="611">
        <f>H101+D101+C101</f>
        <v>21403.361344537818</v>
      </c>
      <c r="K16" s="611"/>
      <c r="L16" s="614"/>
      <c r="M16" s="615">
        <f>C16*$C$21+E16*$E$21+H16*$H$21+I16*$I$21+J16*$J$21+D16*$D$21+F16*$F$21+G16*$G$21+K16*$K$21+L16*$L$21</f>
        <v>55.7621848739496</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18427.500000000004</v>
      </c>
      <c r="C19" s="593">
        <f>SUM(C16:C18)</f>
        <v>276.05042016806732</v>
      </c>
      <c r="D19" s="593">
        <f t="shared" ref="D19:M19" si="1">SUM(D16:D18)</f>
        <v>0</v>
      </c>
      <c r="E19" s="593">
        <f t="shared" si="1"/>
        <v>0</v>
      </c>
      <c r="F19" s="593">
        <f t="shared" si="1"/>
        <v>0</v>
      </c>
      <c r="G19" s="593">
        <f t="shared" si="1"/>
        <v>0</v>
      </c>
      <c r="H19" s="593">
        <f t="shared" si="1"/>
        <v>0</v>
      </c>
      <c r="I19" s="593">
        <f t="shared" si="1"/>
        <v>0</v>
      </c>
      <c r="J19" s="593">
        <f t="shared" si="1"/>
        <v>21403.361344537818</v>
      </c>
      <c r="K19" s="593">
        <f t="shared" si="1"/>
        <v>0</v>
      </c>
      <c r="L19" s="593">
        <f t="shared" si="1"/>
        <v>0</v>
      </c>
      <c r="M19" s="620">
        <f t="shared" si="1"/>
        <v>55.7621848739496</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44001</v>
      </c>
      <c r="C27" s="851">
        <v>9880</v>
      </c>
      <c r="D27" s="672" t="s">
        <v>809</v>
      </c>
      <c r="E27" s="671" t="s">
        <v>810</v>
      </c>
      <c r="F27" s="671" t="s">
        <v>811</v>
      </c>
      <c r="G27" s="671" t="s">
        <v>812</v>
      </c>
      <c r="H27" s="671" t="s">
        <v>813</v>
      </c>
      <c r="I27" s="671" t="s">
        <v>814</v>
      </c>
      <c r="J27" s="850">
        <v>41128</v>
      </c>
      <c r="K27" s="850">
        <v>41130</v>
      </c>
      <c r="L27" s="671" t="s">
        <v>815</v>
      </c>
      <c r="M27" s="671">
        <v>2830</v>
      </c>
      <c r="N27" s="671">
        <v>12735</v>
      </c>
      <c r="O27" s="671">
        <v>18192.857142857145</v>
      </c>
      <c r="P27" s="671">
        <v>0</v>
      </c>
      <c r="Q27" s="671">
        <v>36385.71428571429</v>
      </c>
      <c r="R27" s="671">
        <v>0</v>
      </c>
      <c r="S27" s="671">
        <v>0</v>
      </c>
      <c r="T27" s="671">
        <v>0</v>
      </c>
      <c r="U27" s="671">
        <v>0</v>
      </c>
      <c r="V27" s="671">
        <v>0</v>
      </c>
      <c r="W27" s="671">
        <v>0</v>
      </c>
      <c r="X27" s="671">
        <v>11</v>
      </c>
      <c r="Y27" s="671" t="s">
        <v>112</v>
      </c>
      <c r="Z27" s="673" t="s">
        <v>112</v>
      </c>
    </row>
    <row r="28" spans="1:26" s="625" customFormat="1" ht="25.5">
      <c r="A28" s="624"/>
      <c r="B28" s="851">
        <v>44001</v>
      </c>
      <c r="C28" s="851">
        <v>9880</v>
      </c>
      <c r="D28" s="672"/>
      <c r="E28" s="671"/>
      <c r="F28" s="671" t="s">
        <v>816</v>
      </c>
      <c r="G28" s="671" t="s">
        <v>812</v>
      </c>
      <c r="H28" s="671" t="s">
        <v>813</v>
      </c>
      <c r="I28" s="671" t="s">
        <v>817</v>
      </c>
      <c r="J28" s="850">
        <v>42298</v>
      </c>
      <c r="K28" s="850">
        <v>42298</v>
      </c>
      <c r="L28" s="671" t="s">
        <v>815</v>
      </c>
      <c r="M28" s="671">
        <v>9</v>
      </c>
      <c r="N28" s="671">
        <v>6.7499999999999991</v>
      </c>
      <c r="O28" s="671">
        <v>9.6428571428571423</v>
      </c>
      <c r="P28" s="671">
        <v>19.285714285714285</v>
      </c>
      <c r="Q28" s="671">
        <v>0</v>
      </c>
      <c r="R28" s="671">
        <v>0</v>
      </c>
      <c r="S28" s="671">
        <v>0</v>
      </c>
      <c r="T28" s="671">
        <v>0</v>
      </c>
      <c r="U28" s="671">
        <v>0</v>
      </c>
      <c r="V28" s="671">
        <v>0</v>
      </c>
      <c r="W28" s="671">
        <v>0</v>
      </c>
      <c r="X28" s="671">
        <v>1100</v>
      </c>
      <c r="Y28" s="671" t="s">
        <v>52</v>
      </c>
      <c r="Z28" s="673" t="s">
        <v>156</v>
      </c>
    </row>
    <row r="29" spans="1:26" s="625" customFormat="1" ht="38.25">
      <c r="A29" s="624"/>
      <c r="B29" s="851">
        <v>44001</v>
      </c>
      <c r="C29" s="851">
        <v>9880</v>
      </c>
      <c r="D29" s="672" t="s">
        <v>818</v>
      </c>
      <c r="E29" s="671"/>
      <c r="F29" s="671" t="s">
        <v>819</v>
      </c>
      <c r="G29" s="671" t="s">
        <v>812</v>
      </c>
      <c r="H29" s="671" t="s">
        <v>813</v>
      </c>
      <c r="I29" s="671" t="s">
        <v>820</v>
      </c>
      <c r="J29" s="850">
        <v>41831</v>
      </c>
      <c r="K29" s="850">
        <v>42614</v>
      </c>
      <c r="L29" s="671" t="s">
        <v>821</v>
      </c>
      <c r="M29" s="671">
        <v>140</v>
      </c>
      <c r="N29" s="671">
        <v>157.50000000000003</v>
      </c>
      <c r="O29" s="671">
        <v>225.00000000000006</v>
      </c>
      <c r="P29" s="671">
        <v>450.00000000000011</v>
      </c>
      <c r="Q29" s="671">
        <v>0</v>
      </c>
      <c r="R29" s="671">
        <v>0</v>
      </c>
      <c r="S29" s="671">
        <v>0</v>
      </c>
      <c r="T29" s="671">
        <v>0</v>
      </c>
      <c r="U29" s="671">
        <v>0</v>
      </c>
      <c r="V29" s="671">
        <v>0</v>
      </c>
      <c r="W29" s="671">
        <v>0</v>
      </c>
      <c r="X29" s="671">
        <v>1500</v>
      </c>
      <c r="Y29" s="671" t="s">
        <v>51</v>
      </c>
      <c r="Z29" s="673" t="s">
        <v>156</v>
      </c>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2979</v>
      </c>
      <c r="N57" s="629">
        <f>SUM(N27:N56)</f>
        <v>12899.25</v>
      </c>
      <c r="O57" s="629">
        <f t="shared" ref="O57:W57" si="2">SUM(O27:O56)</f>
        <v>18427.500000000004</v>
      </c>
      <c r="P57" s="629">
        <f t="shared" si="2"/>
        <v>469.28571428571439</v>
      </c>
      <c r="Q57" s="629">
        <f t="shared" si="2"/>
        <v>36385.71428571429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149</v>
      </c>
      <c r="N59" s="629">
        <f ca="1">SUMIF($Z$27:AB56,"tertiair",N27:N56)</f>
        <v>164.25000000000003</v>
      </c>
      <c r="O59" s="629">
        <f ca="1">SUMIF($Z$27:AC56,"tertiair",O27:O56)</f>
        <v>234.6428571428572</v>
      </c>
      <c r="P59" s="629">
        <f ca="1">SUMIF($Z$27:AD56,"tertiair",P27:P56)</f>
        <v>469.28571428571439</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2830</v>
      </c>
      <c r="N60" s="634">
        <f t="shared" ref="N60:W60" si="4">SUMIF($Z$27:$Z$56,"landbouw",N27:N56)</f>
        <v>12735</v>
      </c>
      <c r="O60" s="634">
        <f t="shared" si="4"/>
        <v>18192.857142857145</v>
      </c>
      <c r="P60" s="634">
        <f t="shared" si="4"/>
        <v>0</v>
      </c>
      <c r="Q60" s="634">
        <f t="shared" si="4"/>
        <v>36385.71428571429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0.41176470588235287</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193.23529411764707</v>
      </c>
      <c r="C100" s="663">
        <f t="shared" si="9"/>
        <v>14982.35294117647</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276.05042016806732</v>
      </c>
      <c r="C101" s="666">
        <f t="shared" ref="C101:H101" si="10">$B$97*Q57</f>
        <v>21403.361344537818</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30065.8853962131</v>
      </c>
      <c r="D10" s="718">
        <f ca="1">tertiair!C16</f>
        <v>234.6428571428572</v>
      </c>
      <c r="E10" s="718">
        <f ca="1">tertiair!D16</f>
        <v>25380.407449716437</v>
      </c>
      <c r="F10" s="718">
        <f>tertiair!E16</f>
        <v>434.27428845189274</v>
      </c>
      <c r="G10" s="718">
        <f ca="1">tertiair!F16</f>
        <v>4898.0102415204874</v>
      </c>
      <c r="H10" s="718">
        <f>tertiair!G16</f>
        <v>0</v>
      </c>
      <c r="I10" s="718">
        <f>tertiair!H16</f>
        <v>0</v>
      </c>
      <c r="J10" s="718">
        <f>tertiair!I16</f>
        <v>0</v>
      </c>
      <c r="K10" s="718">
        <f>tertiair!J16</f>
        <v>6.958407166083036E-2</v>
      </c>
      <c r="L10" s="718">
        <f>tertiair!K16</f>
        <v>0</v>
      </c>
      <c r="M10" s="718">
        <f ca="1">tertiair!L16</f>
        <v>0</v>
      </c>
      <c r="N10" s="718">
        <f>tertiair!M16</f>
        <v>0</v>
      </c>
      <c r="O10" s="718">
        <f ca="1">tertiair!N16</f>
        <v>2768.8550888624218</v>
      </c>
      <c r="P10" s="718">
        <f>tertiair!O16</f>
        <v>14.070000000000002</v>
      </c>
      <c r="Q10" s="719">
        <f>tertiair!P16</f>
        <v>171.6</v>
      </c>
      <c r="R10" s="721">
        <f ca="1">SUM(C10:Q10)</f>
        <v>63967.814905978856</v>
      </c>
      <c r="S10" s="67"/>
    </row>
    <row r="11" spans="1:19" s="474" customFormat="1">
      <c r="A11" s="870" t="s">
        <v>225</v>
      </c>
      <c r="B11" s="875"/>
      <c r="C11" s="718">
        <f>huishoudens!B8</f>
        <v>40314.77708695874</v>
      </c>
      <c r="D11" s="718">
        <f>huishoudens!C8</f>
        <v>0</v>
      </c>
      <c r="E11" s="718">
        <f>huishoudens!D8</f>
        <v>53697.047487405391</v>
      </c>
      <c r="F11" s="718">
        <f>huishoudens!E8</f>
        <v>10494.234864593411</v>
      </c>
      <c r="G11" s="718">
        <f>huishoudens!F8</f>
        <v>30550.767065626762</v>
      </c>
      <c r="H11" s="718">
        <f>huishoudens!G8</f>
        <v>0</v>
      </c>
      <c r="I11" s="718">
        <f>huishoudens!H8</f>
        <v>0</v>
      </c>
      <c r="J11" s="718">
        <f>huishoudens!I8</f>
        <v>0</v>
      </c>
      <c r="K11" s="718">
        <f>huishoudens!J8</f>
        <v>772.20116058917654</v>
      </c>
      <c r="L11" s="718">
        <f>huishoudens!K8</f>
        <v>0</v>
      </c>
      <c r="M11" s="718">
        <f>huishoudens!L8</f>
        <v>0</v>
      </c>
      <c r="N11" s="718">
        <f>huishoudens!M8</f>
        <v>0</v>
      </c>
      <c r="O11" s="718">
        <f>huishoudens!N8</f>
        <v>23640.466545061274</v>
      </c>
      <c r="P11" s="718">
        <f>huishoudens!O8</f>
        <v>612.82666666666671</v>
      </c>
      <c r="Q11" s="719">
        <f>huishoudens!P8</f>
        <v>2249.8666666666668</v>
      </c>
      <c r="R11" s="721">
        <f>SUM(C11:Q11)</f>
        <v>162332.18754356808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85384.23048672179</v>
      </c>
      <c r="D13" s="718">
        <f>industrie!C18</f>
        <v>0</v>
      </c>
      <c r="E13" s="718">
        <f>industrie!D18</f>
        <v>185572.79968288049</v>
      </c>
      <c r="F13" s="718">
        <f>industrie!E18</f>
        <v>1472.6837502655126</v>
      </c>
      <c r="G13" s="718">
        <f>industrie!F18</f>
        <v>8633.9693278702307</v>
      </c>
      <c r="H13" s="718">
        <f>industrie!G18</f>
        <v>0</v>
      </c>
      <c r="I13" s="718">
        <f>industrie!H18</f>
        <v>0</v>
      </c>
      <c r="J13" s="718">
        <f>industrie!I18</f>
        <v>0</v>
      </c>
      <c r="K13" s="718">
        <f>industrie!J18</f>
        <v>34.355603507148714</v>
      </c>
      <c r="L13" s="718">
        <f>industrie!K18</f>
        <v>0</v>
      </c>
      <c r="M13" s="718">
        <f>industrie!L18</f>
        <v>0</v>
      </c>
      <c r="N13" s="718">
        <f>industrie!M18</f>
        <v>0</v>
      </c>
      <c r="O13" s="718">
        <f>industrie!N18</f>
        <v>30808.043212841687</v>
      </c>
      <c r="P13" s="718">
        <f>industrie!O18</f>
        <v>0</v>
      </c>
      <c r="Q13" s="719">
        <f>industrie!P18</f>
        <v>0</v>
      </c>
      <c r="R13" s="721">
        <f>SUM(C13:Q13)</f>
        <v>311906.0820640868</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155764.89296989364</v>
      </c>
      <c r="D15" s="723">
        <f t="shared" ref="D15:Q15" ca="1" si="0">SUM(D9:D14)</f>
        <v>234.6428571428572</v>
      </c>
      <c r="E15" s="723">
        <f t="shared" ca="1" si="0"/>
        <v>264650.25462000235</v>
      </c>
      <c r="F15" s="723">
        <f t="shared" si="0"/>
        <v>12401.192903310815</v>
      </c>
      <c r="G15" s="723">
        <f t="shared" ca="1" si="0"/>
        <v>44082.74663501748</v>
      </c>
      <c r="H15" s="723">
        <f t="shared" si="0"/>
        <v>0</v>
      </c>
      <c r="I15" s="723">
        <f t="shared" si="0"/>
        <v>0</v>
      </c>
      <c r="J15" s="723">
        <f t="shared" si="0"/>
        <v>0</v>
      </c>
      <c r="K15" s="723">
        <f t="shared" si="0"/>
        <v>806.62634816798618</v>
      </c>
      <c r="L15" s="723">
        <f t="shared" si="0"/>
        <v>0</v>
      </c>
      <c r="M15" s="723">
        <f t="shared" ca="1" si="0"/>
        <v>0</v>
      </c>
      <c r="N15" s="723">
        <f t="shared" si="0"/>
        <v>0</v>
      </c>
      <c r="O15" s="723">
        <f t="shared" ca="1" si="0"/>
        <v>57217.364846765384</v>
      </c>
      <c r="P15" s="723">
        <f t="shared" si="0"/>
        <v>626.89666666666676</v>
      </c>
      <c r="Q15" s="724">
        <f t="shared" si="0"/>
        <v>2421.4666666666667</v>
      </c>
      <c r="R15" s="725">
        <f ca="1">SUM(R9:R14)</f>
        <v>538206.08451363374</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648.03512909303402</v>
      </c>
      <c r="I18" s="718">
        <f>transport!H54</f>
        <v>0</v>
      </c>
      <c r="J18" s="718">
        <f>transport!I54</f>
        <v>0</v>
      </c>
      <c r="K18" s="718">
        <f>transport!J54</f>
        <v>0</v>
      </c>
      <c r="L18" s="718">
        <f>transport!K54</f>
        <v>0</v>
      </c>
      <c r="M18" s="718">
        <f>transport!L54</f>
        <v>0</v>
      </c>
      <c r="N18" s="718">
        <f>transport!M54</f>
        <v>36.805534531907071</v>
      </c>
      <c r="O18" s="718">
        <f>transport!N54</f>
        <v>0</v>
      </c>
      <c r="P18" s="718">
        <f>transport!O54</f>
        <v>0</v>
      </c>
      <c r="Q18" s="719">
        <f>transport!P54</f>
        <v>0</v>
      </c>
      <c r="R18" s="721">
        <f>SUM(C18:Q18)</f>
        <v>684.84066362494104</v>
      </c>
      <c r="S18" s="67"/>
    </row>
    <row r="19" spans="1:19" s="474" customFormat="1" ht="15" thickBot="1">
      <c r="A19" s="870" t="s">
        <v>307</v>
      </c>
      <c r="B19" s="875"/>
      <c r="C19" s="727">
        <f>transport!B14</f>
        <v>202.14795699146046</v>
      </c>
      <c r="D19" s="727">
        <f>transport!C14</f>
        <v>0</v>
      </c>
      <c r="E19" s="727">
        <f>transport!D14</f>
        <v>665.69234680639602</v>
      </c>
      <c r="F19" s="727">
        <f>transport!E14</f>
        <v>1049.3710796797454</v>
      </c>
      <c r="G19" s="727">
        <f>transport!F14</f>
        <v>0</v>
      </c>
      <c r="H19" s="727">
        <f>transport!G14</f>
        <v>450162.95588396827</v>
      </c>
      <c r="I19" s="727">
        <f>transport!H14</f>
        <v>77584.170586843509</v>
      </c>
      <c r="J19" s="727">
        <f>transport!I14</f>
        <v>0</v>
      </c>
      <c r="K19" s="727">
        <f>transport!J14</f>
        <v>0</v>
      </c>
      <c r="L19" s="727">
        <f>transport!K14</f>
        <v>0</v>
      </c>
      <c r="M19" s="727">
        <f>transport!L14</f>
        <v>0</v>
      </c>
      <c r="N19" s="727">
        <f>transport!M14</f>
        <v>28603.895775081837</v>
      </c>
      <c r="O19" s="727">
        <f>transport!N14</f>
        <v>0</v>
      </c>
      <c r="P19" s="727">
        <f>transport!O14</f>
        <v>0</v>
      </c>
      <c r="Q19" s="728">
        <f>transport!P14</f>
        <v>0</v>
      </c>
      <c r="R19" s="729">
        <f>SUM(C19:Q19)</f>
        <v>558268.23362937127</v>
      </c>
      <c r="S19" s="67"/>
    </row>
    <row r="20" spans="1:19" s="474" customFormat="1" ht="15.75" thickBot="1">
      <c r="A20" s="730" t="s">
        <v>230</v>
      </c>
      <c r="B20" s="878"/>
      <c r="C20" s="873">
        <f>SUM(C17:C19)</f>
        <v>202.14795699146046</v>
      </c>
      <c r="D20" s="731">
        <f t="shared" ref="D20:R20" si="1">SUM(D17:D19)</f>
        <v>0</v>
      </c>
      <c r="E20" s="731">
        <f t="shared" si="1"/>
        <v>665.69234680639602</v>
      </c>
      <c r="F20" s="731">
        <f t="shared" si="1"/>
        <v>1049.3710796797454</v>
      </c>
      <c r="G20" s="731">
        <f t="shared" si="1"/>
        <v>0</v>
      </c>
      <c r="H20" s="731">
        <f t="shared" si="1"/>
        <v>450810.99101306131</v>
      </c>
      <c r="I20" s="731">
        <f t="shared" si="1"/>
        <v>77584.170586843509</v>
      </c>
      <c r="J20" s="731">
        <f t="shared" si="1"/>
        <v>0</v>
      </c>
      <c r="K20" s="731">
        <f t="shared" si="1"/>
        <v>0</v>
      </c>
      <c r="L20" s="731">
        <f t="shared" si="1"/>
        <v>0</v>
      </c>
      <c r="M20" s="731">
        <f t="shared" si="1"/>
        <v>0</v>
      </c>
      <c r="N20" s="731">
        <f t="shared" si="1"/>
        <v>28640.701309613745</v>
      </c>
      <c r="O20" s="731">
        <f t="shared" si="1"/>
        <v>0</v>
      </c>
      <c r="P20" s="731">
        <f t="shared" si="1"/>
        <v>0</v>
      </c>
      <c r="Q20" s="732">
        <f t="shared" si="1"/>
        <v>0</v>
      </c>
      <c r="R20" s="733">
        <f t="shared" si="1"/>
        <v>558953.0742929962</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6467.6140334765223</v>
      </c>
      <c r="D22" s="727">
        <f>+landbouw!C8</f>
        <v>18192.857142857145</v>
      </c>
      <c r="E22" s="727">
        <f>+landbouw!D8</f>
        <v>8942.1349442019291</v>
      </c>
      <c r="F22" s="727">
        <f>+landbouw!E8</f>
        <v>190.10293081721258</v>
      </c>
      <c r="G22" s="727">
        <f>+landbouw!F8</f>
        <v>26943.730571944816</v>
      </c>
      <c r="H22" s="727">
        <f>+landbouw!G8</f>
        <v>0</v>
      </c>
      <c r="I22" s="727">
        <f>+landbouw!H8</f>
        <v>0</v>
      </c>
      <c r="J22" s="727">
        <f>+landbouw!I8</f>
        <v>0</v>
      </c>
      <c r="K22" s="727">
        <f>+landbouw!J8</f>
        <v>937.01837984947963</v>
      </c>
      <c r="L22" s="727">
        <f>+landbouw!K8</f>
        <v>0</v>
      </c>
      <c r="M22" s="727">
        <f>+landbouw!L8</f>
        <v>0</v>
      </c>
      <c r="N22" s="727">
        <f>+landbouw!M8</f>
        <v>0</v>
      </c>
      <c r="O22" s="727">
        <f>+landbouw!N8</f>
        <v>0</v>
      </c>
      <c r="P22" s="727">
        <f>+landbouw!O8</f>
        <v>0</v>
      </c>
      <c r="Q22" s="728">
        <f>+landbouw!P8</f>
        <v>0</v>
      </c>
      <c r="R22" s="729">
        <f>SUM(C22:Q22)</f>
        <v>61673.458003147105</v>
      </c>
      <c r="S22" s="67"/>
    </row>
    <row r="23" spans="1:19" s="474" customFormat="1" ht="17.25" thickTop="1" thickBot="1">
      <c r="A23" s="734" t="s">
        <v>116</v>
      </c>
      <c r="B23" s="864"/>
      <c r="C23" s="735">
        <f ca="1">C20+C15+C22</f>
        <v>162434.6549603616</v>
      </c>
      <c r="D23" s="735">
        <f t="shared" ref="D23:Q23" ca="1" si="2">D20+D15+D22</f>
        <v>18427.500000000004</v>
      </c>
      <c r="E23" s="735">
        <f t="shared" ca="1" si="2"/>
        <v>274258.08191101067</v>
      </c>
      <c r="F23" s="735">
        <f t="shared" si="2"/>
        <v>13640.666913807774</v>
      </c>
      <c r="G23" s="735">
        <f t="shared" ca="1" si="2"/>
        <v>71026.4772069623</v>
      </c>
      <c r="H23" s="735">
        <f t="shared" si="2"/>
        <v>450810.99101306131</v>
      </c>
      <c r="I23" s="735">
        <f t="shared" si="2"/>
        <v>77584.170586843509</v>
      </c>
      <c r="J23" s="735">
        <f t="shared" si="2"/>
        <v>0</v>
      </c>
      <c r="K23" s="735">
        <f t="shared" si="2"/>
        <v>1743.6447280174657</v>
      </c>
      <c r="L23" s="735">
        <f t="shared" si="2"/>
        <v>0</v>
      </c>
      <c r="M23" s="735">
        <f t="shared" ca="1" si="2"/>
        <v>0</v>
      </c>
      <c r="N23" s="735">
        <f t="shared" si="2"/>
        <v>28640.701309613745</v>
      </c>
      <c r="O23" s="735">
        <f t="shared" ca="1" si="2"/>
        <v>57217.364846765384</v>
      </c>
      <c r="P23" s="735">
        <f t="shared" si="2"/>
        <v>626.89666666666676</v>
      </c>
      <c r="Q23" s="736">
        <f t="shared" si="2"/>
        <v>2421.4666666666667</v>
      </c>
      <c r="R23" s="737">
        <f ca="1">R20+R15+R22</f>
        <v>1158832.616809777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5675.9312785245274</v>
      </c>
      <c r="D36" s="718">
        <f ca="1">tertiair!C20</f>
        <v>0.7100365420893634</v>
      </c>
      <c r="E36" s="718">
        <f ca="1">tertiair!D20</f>
        <v>5126.8423048427203</v>
      </c>
      <c r="F36" s="718">
        <f>tertiair!E20</f>
        <v>98.580263478579653</v>
      </c>
      <c r="G36" s="718">
        <f ca="1">tertiair!F20</f>
        <v>1307.7687344859703</v>
      </c>
      <c r="H36" s="718">
        <f>tertiair!G20</f>
        <v>0</v>
      </c>
      <c r="I36" s="718">
        <f>tertiair!H20</f>
        <v>0</v>
      </c>
      <c r="J36" s="718">
        <f>tertiair!I20</f>
        <v>0</v>
      </c>
      <c r="K36" s="718">
        <f>tertiair!J20</f>
        <v>2.4632761367933947E-2</v>
      </c>
      <c r="L36" s="718">
        <f>tertiair!K20</f>
        <v>0</v>
      </c>
      <c r="M36" s="718">
        <f ca="1">tertiair!L20</f>
        <v>0</v>
      </c>
      <c r="N36" s="718">
        <f>tertiair!M20</f>
        <v>0</v>
      </c>
      <c r="O36" s="718">
        <f ca="1">tertiair!N20</f>
        <v>0</v>
      </c>
      <c r="P36" s="718">
        <f>tertiair!O20</f>
        <v>0</v>
      </c>
      <c r="Q36" s="828">
        <f>tertiair!P20</f>
        <v>0</v>
      </c>
      <c r="R36" s="917">
        <f ca="1">SUM(C36:Q36)</f>
        <v>12209.857250635254</v>
      </c>
    </row>
    <row r="37" spans="1:18">
      <c r="A37" s="885" t="s">
        <v>225</v>
      </c>
      <c r="B37" s="892"/>
      <c r="C37" s="718">
        <f ca="1">huishoudens!B12</f>
        <v>7610.7489015917745</v>
      </c>
      <c r="D37" s="718">
        <f ca="1">huishoudens!C12</f>
        <v>0</v>
      </c>
      <c r="E37" s="718">
        <f>huishoudens!D12</f>
        <v>10846.80359245589</v>
      </c>
      <c r="F37" s="718">
        <f>huishoudens!E12</f>
        <v>2382.1913142627045</v>
      </c>
      <c r="G37" s="718">
        <f>huishoudens!F12</f>
        <v>8157.0548065223456</v>
      </c>
      <c r="H37" s="718">
        <f>huishoudens!G12</f>
        <v>0</v>
      </c>
      <c r="I37" s="718">
        <f>huishoudens!H12</f>
        <v>0</v>
      </c>
      <c r="J37" s="718">
        <f>huishoudens!I12</f>
        <v>0</v>
      </c>
      <c r="K37" s="718">
        <f>huishoudens!J12</f>
        <v>273.35921084856847</v>
      </c>
      <c r="L37" s="718">
        <f>huishoudens!K12</f>
        <v>0</v>
      </c>
      <c r="M37" s="718">
        <f>huishoudens!L12</f>
        <v>0</v>
      </c>
      <c r="N37" s="718">
        <f>huishoudens!M12</f>
        <v>0</v>
      </c>
      <c r="O37" s="718">
        <f>huishoudens!N12</f>
        <v>0</v>
      </c>
      <c r="P37" s="718">
        <f>huishoudens!O12</f>
        <v>0</v>
      </c>
      <c r="Q37" s="828">
        <f>huishoudens!P12</f>
        <v>0</v>
      </c>
      <c r="R37" s="917">
        <f ca="1">SUM(C37:Q37)</f>
        <v>29270.157825681283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16119.100373254703</v>
      </c>
      <c r="D39" s="718">
        <f ca="1">industrie!C22</f>
        <v>0</v>
      </c>
      <c r="E39" s="718">
        <f>industrie!D22</f>
        <v>37485.705535941859</v>
      </c>
      <c r="F39" s="718">
        <f>industrie!E22</f>
        <v>334.29921131027135</v>
      </c>
      <c r="G39" s="718">
        <f>industrie!F22</f>
        <v>2305.2698105413519</v>
      </c>
      <c r="H39" s="718">
        <f>industrie!G22</f>
        <v>0</v>
      </c>
      <c r="I39" s="718">
        <f>industrie!H22</f>
        <v>0</v>
      </c>
      <c r="J39" s="718">
        <f>industrie!I22</f>
        <v>0</v>
      </c>
      <c r="K39" s="718">
        <f>industrie!J22</f>
        <v>12.161883641530645</v>
      </c>
      <c r="L39" s="718">
        <f>industrie!K22</f>
        <v>0</v>
      </c>
      <c r="M39" s="718">
        <f>industrie!L22</f>
        <v>0</v>
      </c>
      <c r="N39" s="718">
        <f>industrie!M22</f>
        <v>0</v>
      </c>
      <c r="O39" s="718">
        <f>industrie!N22</f>
        <v>0</v>
      </c>
      <c r="P39" s="718">
        <f>industrie!O22</f>
        <v>0</v>
      </c>
      <c r="Q39" s="828">
        <f>industrie!P22</f>
        <v>0</v>
      </c>
      <c r="R39" s="918">
        <f ca="1">SUM(C39:Q39)</f>
        <v>56256.536814689716</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29405.780553371005</v>
      </c>
      <c r="D41" s="763">
        <f t="shared" ref="D41:R41" ca="1" si="4">SUM(D35:D40)</f>
        <v>0.7100365420893634</v>
      </c>
      <c r="E41" s="763">
        <f t="shared" ca="1" si="4"/>
        <v>53459.351433240474</v>
      </c>
      <c r="F41" s="763">
        <f t="shared" si="4"/>
        <v>2815.0707890515555</v>
      </c>
      <c r="G41" s="763">
        <f t="shared" ca="1" si="4"/>
        <v>11770.093351549669</v>
      </c>
      <c r="H41" s="763">
        <f t="shared" si="4"/>
        <v>0</v>
      </c>
      <c r="I41" s="763">
        <f t="shared" si="4"/>
        <v>0</v>
      </c>
      <c r="J41" s="763">
        <f t="shared" si="4"/>
        <v>0</v>
      </c>
      <c r="K41" s="763">
        <f t="shared" si="4"/>
        <v>285.54572725146704</v>
      </c>
      <c r="L41" s="763">
        <f t="shared" si="4"/>
        <v>0</v>
      </c>
      <c r="M41" s="763">
        <f t="shared" ca="1" si="4"/>
        <v>0</v>
      </c>
      <c r="N41" s="763">
        <f t="shared" si="4"/>
        <v>0</v>
      </c>
      <c r="O41" s="763">
        <f t="shared" ca="1" si="4"/>
        <v>0</v>
      </c>
      <c r="P41" s="763">
        <f t="shared" si="4"/>
        <v>0</v>
      </c>
      <c r="Q41" s="764">
        <f t="shared" si="4"/>
        <v>0</v>
      </c>
      <c r="R41" s="765">
        <f t="shared" ca="1" si="4"/>
        <v>97736.551891006253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173.02537946784008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173.02537946784008</v>
      </c>
    </row>
    <row r="45" spans="1:18" ht="15" thickBot="1">
      <c r="A45" s="888" t="s">
        <v>307</v>
      </c>
      <c r="B45" s="898"/>
      <c r="C45" s="727">
        <f ca="1">transport!B18</f>
        <v>38.16211952042422</v>
      </c>
      <c r="D45" s="727">
        <f>transport!C18</f>
        <v>0</v>
      </c>
      <c r="E45" s="727">
        <f>transport!D18</f>
        <v>134.46985405489201</v>
      </c>
      <c r="F45" s="727">
        <f>transport!E18</f>
        <v>238.20723508730222</v>
      </c>
      <c r="G45" s="727">
        <f>transport!F18</f>
        <v>0</v>
      </c>
      <c r="H45" s="727">
        <f>transport!G18</f>
        <v>120193.50922101953</v>
      </c>
      <c r="I45" s="727">
        <f>transport!H18</f>
        <v>19318.458476124033</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139922.80690580618</v>
      </c>
    </row>
    <row r="46" spans="1:18" ht="15.75" thickBot="1">
      <c r="A46" s="886" t="s">
        <v>230</v>
      </c>
      <c r="B46" s="899"/>
      <c r="C46" s="763">
        <f t="shared" ref="C46:R46" ca="1" si="5">SUM(C43:C45)</f>
        <v>38.16211952042422</v>
      </c>
      <c r="D46" s="763">
        <f t="shared" ca="1" si="5"/>
        <v>0</v>
      </c>
      <c r="E46" s="763">
        <f t="shared" si="5"/>
        <v>134.46985405489201</v>
      </c>
      <c r="F46" s="763">
        <f t="shared" si="5"/>
        <v>238.20723508730222</v>
      </c>
      <c r="G46" s="763">
        <f t="shared" si="5"/>
        <v>0</v>
      </c>
      <c r="H46" s="763">
        <f t="shared" si="5"/>
        <v>120366.53460048737</v>
      </c>
      <c r="I46" s="763">
        <f t="shared" si="5"/>
        <v>19318.458476124033</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140095.83228527402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1220.9762761437682</v>
      </c>
      <c r="D48" s="718">
        <f ca="1">+landbouw!C12</f>
        <v>55.052148331860231</v>
      </c>
      <c r="E48" s="718">
        <f>+landbouw!D12</f>
        <v>1806.3112587287899</v>
      </c>
      <c r="F48" s="718">
        <f>+landbouw!E12</f>
        <v>43.153365295507257</v>
      </c>
      <c r="G48" s="718">
        <f>+landbouw!F12</f>
        <v>7193.9760627092664</v>
      </c>
      <c r="H48" s="718">
        <f>+landbouw!G12</f>
        <v>0</v>
      </c>
      <c r="I48" s="718">
        <f>+landbouw!H12</f>
        <v>0</v>
      </c>
      <c r="J48" s="718">
        <f>+landbouw!I12</f>
        <v>0</v>
      </c>
      <c r="K48" s="718">
        <f>+landbouw!J12</f>
        <v>331.70450646671577</v>
      </c>
      <c r="L48" s="718">
        <f>+landbouw!K12</f>
        <v>0</v>
      </c>
      <c r="M48" s="718">
        <f>+landbouw!L12</f>
        <v>0</v>
      </c>
      <c r="N48" s="718">
        <f>+landbouw!M12</f>
        <v>0</v>
      </c>
      <c r="O48" s="718">
        <f>+landbouw!N12</f>
        <v>0</v>
      </c>
      <c r="P48" s="718">
        <f>+landbouw!O12</f>
        <v>0</v>
      </c>
      <c r="Q48" s="719">
        <f>+landbouw!P12</f>
        <v>0</v>
      </c>
      <c r="R48" s="761">
        <f ca="1">SUM(C48:Q48)</f>
        <v>10651.173617675908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30664.918949035196</v>
      </c>
      <c r="D53" s="773">
        <f t="shared" ref="D53:Q53" ca="1" si="6">D41+D46+D48</f>
        <v>55.762184873949593</v>
      </c>
      <c r="E53" s="773">
        <f t="shared" ca="1" si="6"/>
        <v>55400.132546024157</v>
      </c>
      <c r="F53" s="773">
        <f t="shared" si="6"/>
        <v>3096.431389434365</v>
      </c>
      <c r="G53" s="773">
        <f t="shared" ca="1" si="6"/>
        <v>18964.069414258935</v>
      </c>
      <c r="H53" s="773">
        <f t="shared" si="6"/>
        <v>120366.53460048737</v>
      </c>
      <c r="I53" s="773">
        <f t="shared" si="6"/>
        <v>19318.458476124033</v>
      </c>
      <c r="J53" s="773">
        <f t="shared" si="6"/>
        <v>0</v>
      </c>
      <c r="K53" s="773">
        <f t="shared" si="6"/>
        <v>617.25023371818281</v>
      </c>
      <c r="L53" s="773">
        <f t="shared" si="6"/>
        <v>0</v>
      </c>
      <c r="M53" s="773">
        <f t="shared" ca="1" si="6"/>
        <v>0</v>
      </c>
      <c r="N53" s="773">
        <f t="shared" si="6"/>
        <v>0</v>
      </c>
      <c r="O53" s="773">
        <f t="shared" ca="1" si="6"/>
        <v>0</v>
      </c>
      <c r="P53" s="773">
        <f>P41+P46+P48</f>
        <v>0</v>
      </c>
      <c r="Q53" s="774">
        <f t="shared" si="6"/>
        <v>0</v>
      </c>
      <c r="R53" s="775">
        <f ca="1">R41+R46+R48</f>
        <v>248483.55779395619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0.18878310762268222</v>
      </c>
      <c r="D55" s="836">
        <f t="shared" ca="1" si="7"/>
        <v>3.0260309251905894E-3</v>
      </c>
      <c r="E55" s="836">
        <f t="shared" ca="1" si="7"/>
        <v>0.20200000000000001</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10956.737903242005</v>
      </c>
      <c r="C66" s="795">
        <f>'lokale energieproductie'!B6</f>
        <v>10956.737903242005</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12899.25</v>
      </c>
      <c r="C67" s="794">
        <f>B67*IFERROR(SUM(J67:L67)/SUM(D67:M67),0)</f>
        <v>12735</v>
      </c>
      <c r="D67" s="826">
        <f>'lokale energieproductie'!C7</f>
        <v>193.23529411764707</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14982.35294117647</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39.033529411764711</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23855.987903242007</v>
      </c>
      <c r="C69" s="803">
        <f>SUM(C64:C68)</f>
        <v>23691.737903242007</v>
      </c>
      <c r="D69" s="804">
        <f t="shared" ref="D69:M69" si="8">SUM(D67:D68)</f>
        <v>193.23529411764707</v>
      </c>
      <c r="E69" s="804">
        <f t="shared" si="8"/>
        <v>0</v>
      </c>
      <c r="F69" s="804">
        <f t="shared" si="8"/>
        <v>0</v>
      </c>
      <c r="G69" s="804">
        <f t="shared" si="8"/>
        <v>0</v>
      </c>
      <c r="H69" s="804">
        <f t="shared" si="8"/>
        <v>0</v>
      </c>
      <c r="I69" s="804">
        <f t="shared" si="8"/>
        <v>0</v>
      </c>
      <c r="J69" s="804">
        <f t="shared" si="8"/>
        <v>0</v>
      </c>
      <c r="K69" s="804">
        <f t="shared" si="8"/>
        <v>14982.35294117647</v>
      </c>
      <c r="L69" s="804">
        <f t="shared" si="8"/>
        <v>0</v>
      </c>
      <c r="M69" s="930">
        <f t="shared" si="8"/>
        <v>0</v>
      </c>
      <c r="N69" s="805">
        <v>0</v>
      </c>
      <c r="O69" s="805">
        <f>SUM(O67:O68)</f>
        <v>39.033529411764711</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18427.500000000004</v>
      </c>
      <c r="C78" s="817">
        <f>B78*IFERROR(SUM(I78:L78)/SUM(D78:M78),0)</f>
        <v>18192.857142857145</v>
      </c>
      <c r="D78" s="832">
        <f>'lokale energieproductie'!C16</f>
        <v>276.05042016806732</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21403.361344537818</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55.7621848739496</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18427.500000000004</v>
      </c>
      <c r="C81" s="803">
        <f>SUM(C78:C80)</f>
        <v>18192.857142857145</v>
      </c>
      <c r="D81" s="803">
        <f t="shared" ref="D81:P81" si="9">SUM(D78:D80)</f>
        <v>276.05042016806732</v>
      </c>
      <c r="E81" s="803">
        <f t="shared" si="9"/>
        <v>0</v>
      </c>
      <c r="F81" s="803">
        <f t="shared" si="9"/>
        <v>0</v>
      </c>
      <c r="G81" s="803">
        <f t="shared" si="9"/>
        <v>0</v>
      </c>
      <c r="H81" s="803">
        <f t="shared" si="9"/>
        <v>0</v>
      </c>
      <c r="I81" s="803">
        <f t="shared" si="9"/>
        <v>0</v>
      </c>
      <c r="J81" s="803">
        <f t="shared" si="9"/>
        <v>0</v>
      </c>
      <c r="K81" s="803">
        <f t="shared" si="9"/>
        <v>21403.361344537818</v>
      </c>
      <c r="L81" s="803">
        <f t="shared" si="9"/>
        <v>0</v>
      </c>
      <c r="M81" s="803">
        <f t="shared" si="9"/>
        <v>0</v>
      </c>
      <c r="N81" s="803">
        <v>0</v>
      </c>
      <c r="O81" s="803">
        <f>SUM(O78:O80)</f>
        <v>55.7621848739496</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40314.77708695874</v>
      </c>
      <c r="C4" s="478">
        <f>huishoudens!C8</f>
        <v>0</v>
      </c>
      <c r="D4" s="478">
        <f>huishoudens!D8</f>
        <v>53697.047487405391</v>
      </c>
      <c r="E4" s="478">
        <f>huishoudens!E8</f>
        <v>10494.234864593411</v>
      </c>
      <c r="F4" s="478">
        <f>huishoudens!F8</f>
        <v>30550.767065626762</v>
      </c>
      <c r="G4" s="478">
        <f>huishoudens!G8</f>
        <v>0</v>
      </c>
      <c r="H4" s="478">
        <f>huishoudens!H8</f>
        <v>0</v>
      </c>
      <c r="I4" s="478">
        <f>huishoudens!I8</f>
        <v>0</v>
      </c>
      <c r="J4" s="478">
        <f>huishoudens!J8</f>
        <v>772.20116058917654</v>
      </c>
      <c r="K4" s="478">
        <f>huishoudens!K8</f>
        <v>0</v>
      </c>
      <c r="L4" s="478">
        <f>huishoudens!L8</f>
        <v>0</v>
      </c>
      <c r="M4" s="478">
        <f>huishoudens!M8</f>
        <v>0</v>
      </c>
      <c r="N4" s="478">
        <f>huishoudens!N8</f>
        <v>23640.466545061274</v>
      </c>
      <c r="O4" s="478">
        <f>huishoudens!O8</f>
        <v>612.82666666666671</v>
      </c>
      <c r="P4" s="479">
        <f>huishoudens!P8</f>
        <v>2249.8666666666668</v>
      </c>
      <c r="Q4" s="480">
        <f>SUM(B4:P4)</f>
        <v>162332.18754356808</v>
      </c>
    </row>
    <row r="5" spans="1:17">
      <c r="A5" s="477" t="s">
        <v>156</v>
      </c>
      <c r="B5" s="478">
        <f ca="1">tertiair!B16</f>
        <v>27986.9393962131</v>
      </c>
      <c r="C5" s="478">
        <f ca="1">tertiair!C16</f>
        <v>234.6428571428572</v>
      </c>
      <c r="D5" s="478">
        <f ca="1">tertiair!D16</f>
        <v>25380.407449716437</v>
      </c>
      <c r="E5" s="478">
        <f>tertiair!E16</f>
        <v>434.27428845189274</v>
      </c>
      <c r="F5" s="478">
        <f ca="1">tertiair!F16</f>
        <v>4898.0102415204874</v>
      </c>
      <c r="G5" s="478">
        <f>tertiair!G16</f>
        <v>0</v>
      </c>
      <c r="H5" s="478">
        <f>tertiair!H16</f>
        <v>0</v>
      </c>
      <c r="I5" s="478">
        <f>tertiair!I16</f>
        <v>0</v>
      </c>
      <c r="J5" s="478">
        <f>tertiair!J16</f>
        <v>6.958407166083036E-2</v>
      </c>
      <c r="K5" s="478">
        <f>tertiair!K16</f>
        <v>0</v>
      </c>
      <c r="L5" s="478">
        <f ca="1">tertiair!L16</f>
        <v>0</v>
      </c>
      <c r="M5" s="478">
        <f>tertiair!M16</f>
        <v>0</v>
      </c>
      <c r="N5" s="478">
        <f ca="1">tertiair!N16</f>
        <v>2768.8550888624218</v>
      </c>
      <c r="O5" s="478">
        <f>tertiair!O16</f>
        <v>14.070000000000002</v>
      </c>
      <c r="P5" s="479">
        <f>tertiair!P16</f>
        <v>171.6</v>
      </c>
      <c r="Q5" s="477">
        <f t="shared" ref="Q5:Q13" ca="1" si="0">SUM(B5:P5)</f>
        <v>61888.868905978859</v>
      </c>
    </row>
    <row r="6" spans="1:17">
      <c r="A6" s="477" t="s">
        <v>194</v>
      </c>
      <c r="B6" s="478">
        <f>'openbare verlichting'!B8</f>
        <v>2078.9459999999999</v>
      </c>
      <c r="C6" s="478"/>
      <c r="D6" s="478"/>
      <c r="E6" s="478"/>
      <c r="F6" s="478"/>
      <c r="G6" s="478"/>
      <c r="H6" s="478"/>
      <c r="I6" s="478"/>
      <c r="J6" s="478"/>
      <c r="K6" s="478"/>
      <c r="L6" s="478"/>
      <c r="M6" s="478"/>
      <c r="N6" s="478"/>
      <c r="O6" s="478"/>
      <c r="P6" s="479"/>
      <c r="Q6" s="477">
        <f t="shared" si="0"/>
        <v>2078.9459999999999</v>
      </c>
    </row>
    <row r="7" spans="1:17">
      <c r="A7" s="477" t="s">
        <v>112</v>
      </c>
      <c r="B7" s="478">
        <f>landbouw!B8</f>
        <v>6467.6140334765223</v>
      </c>
      <c r="C7" s="478">
        <f>landbouw!C8</f>
        <v>18192.857142857145</v>
      </c>
      <c r="D7" s="478">
        <f>landbouw!D8</f>
        <v>8942.1349442019291</v>
      </c>
      <c r="E7" s="478">
        <f>landbouw!E8</f>
        <v>190.10293081721258</v>
      </c>
      <c r="F7" s="478">
        <f>landbouw!F8</f>
        <v>26943.730571944816</v>
      </c>
      <c r="G7" s="478">
        <f>landbouw!G8</f>
        <v>0</v>
      </c>
      <c r="H7" s="478">
        <f>landbouw!H8</f>
        <v>0</v>
      </c>
      <c r="I7" s="478">
        <f>landbouw!I8</f>
        <v>0</v>
      </c>
      <c r="J7" s="478">
        <f>landbouw!J8</f>
        <v>937.01837984947963</v>
      </c>
      <c r="K7" s="478">
        <f>landbouw!K8</f>
        <v>0</v>
      </c>
      <c r="L7" s="478">
        <f>landbouw!L8</f>
        <v>0</v>
      </c>
      <c r="M7" s="478">
        <f>landbouw!M8</f>
        <v>0</v>
      </c>
      <c r="N7" s="478">
        <f>landbouw!N8</f>
        <v>0</v>
      </c>
      <c r="O7" s="478">
        <f>landbouw!O8</f>
        <v>0</v>
      </c>
      <c r="P7" s="479">
        <f>landbouw!P8</f>
        <v>0</v>
      </c>
      <c r="Q7" s="477">
        <f t="shared" si="0"/>
        <v>61673.458003147105</v>
      </c>
    </row>
    <row r="8" spans="1:17">
      <c r="A8" s="477" t="s">
        <v>635</v>
      </c>
      <c r="B8" s="478">
        <f>industrie!B18</f>
        <v>85384.23048672179</v>
      </c>
      <c r="C8" s="478">
        <f>industrie!C18</f>
        <v>0</v>
      </c>
      <c r="D8" s="478">
        <f>industrie!D18</f>
        <v>185572.79968288049</v>
      </c>
      <c r="E8" s="478">
        <f>industrie!E18</f>
        <v>1472.6837502655126</v>
      </c>
      <c r="F8" s="478">
        <f>industrie!F18</f>
        <v>8633.9693278702307</v>
      </c>
      <c r="G8" s="478">
        <f>industrie!G18</f>
        <v>0</v>
      </c>
      <c r="H8" s="478">
        <f>industrie!H18</f>
        <v>0</v>
      </c>
      <c r="I8" s="478">
        <f>industrie!I18</f>
        <v>0</v>
      </c>
      <c r="J8" s="478">
        <f>industrie!J18</f>
        <v>34.355603507148714</v>
      </c>
      <c r="K8" s="478">
        <f>industrie!K18</f>
        <v>0</v>
      </c>
      <c r="L8" s="478">
        <f>industrie!L18</f>
        <v>0</v>
      </c>
      <c r="M8" s="478">
        <f>industrie!M18</f>
        <v>0</v>
      </c>
      <c r="N8" s="478">
        <f>industrie!N18</f>
        <v>30808.043212841687</v>
      </c>
      <c r="O8" s="478">
        <f>industrie!O18</f>
        <v>0</v>
      </c>
      <c r="P8" s="479">
        <f>industrie!P18</f>
        <v>0</v>
      </c>
      <c r="Q8" s="477">
        <f t="shared" si="0"/>
        <v>311906.0820640868</v>
      </c>
    </row>
    <row r="9" spans="1:17" s="483" customFormat="1">
      <c r="A9" s="481" t="s">
        <v>561</v>
      </c>
      <c r="B9" s="482">
        <f>transport!B14</f>
        <v>202.14795699146046</v>
      </c>
      <c r="C9" s="482">
        <f>transport!C14</f>
        <v>0</v>
      </c>
      <c r="D9" s="482">
        <f>transport!D14</f>
        <v>665.69234680639602</v>
      </c>
      <c r="E9" s="482">
        <f>transport!E14</f>
        <v>1049.3710796797454</v>
      </c>
      <c r="F9" s="482">
        <f>transport!F14</f>
        <v>0</v>
      </c>
      <c r="G9" s="482">
        <f>transport!G14</f>
        <v>450162.95588396827</v>
      </c>
      <c r="H9" s="482">
        <f>transport!H14</f>
        <v>77584.170586843509</v>
      </c>
      <c r="I9" s="482">
        <f>transport!I14</f>
        <v>0</v>
      </c>
      <c r="J9" s="482">
        <f>transport!J14</f>
        <v>0</v>
      </c>
      <c r="K9" s="482">
        <f>transport!K14</f>
        <v>0</v>
      </c>
      <c r="L9" s="482">
        <f>transport!L14</f>
        <v>0</v>
      </c>
      <c r="M9" s="482">
        <f>transport!M14</f>
        <v>28603.895775081837</v>
      </c>
      <c r="N9" s="482">
        <f>transport!N14</f>
        <v>0</v>
      </c>
      <c r="O9" s="482">
        <f>transport!O14</f>
        <v>0</v>
      </c>
      <c r="P9" s="482">
        <f>transport!P14</f>
        <v>0</v>
      </c>
      <c r="Q9" s="481">
        <f>SUM(B9:P9)</f>
        <v>558268.23362937127</v>
      </c>
    </row>
    <row r="10" spans="1:17">
      <c r="A10" s="477" t="s">
        <v>551</v>
      </c>
      <c r="B10" s="478">
        <f>transport!B54</f>
        <v>0</v>
      </c>
      <c r="C10" s="478">
        <f>transport!C54</f>
        <v>0</v>
      </c>
      <c r="D10" s="478">
        <f>transport!D54</f>
        <v>0</v>
      </c>
      <c r="E10" s="478">
        <f>transport!E54</f>
        <v>0</v>
      </c>
      <c r="F10" s="478">
        <f>transport!F54</f>
        <v>0</v>
      </c>
      <c r="G10" s="478">
        <f>transport!G54</f>
        <v>648.03512909303402</v>
      </c>
      <c r="H10" s="478">
        <f>transport!H54</f>
        <v>0</v>
      </c>
      <c r="I10" s="478">
        <f>transport!I54</f>
        <v>0</v>
      </c>
      <c r="J10" s="478">
        <f>transport!J54</f>
        <v>0</v>
      </c>
      <c r="K10" s="478">
        <f>transport!K54</f>
        <v>0</v>
      </c>
      <c r="L10" s="478">
        <f>transport!L54</f>
        <v>0</v>
      </c>
      <c r="M10" s="478">
        <f>transport!M54</f>
        <v>36.805534531907071</v>
      </c>
      <c r="N10" s="478">
        <f>transport!N54</f>
        <v>0</v>
      </c>
      <c r="O10" s="478">
        <f>transport!O54</f>
        <v>0</v>
      </c>
      <c r="P10" s="479">
        <f>transport!P54</f>
        <v>0</v>
      </c>
      <c r="Q10" s="477">
        <f t="shared" si="0"/>
        <v>684.84066362494104</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162434.6549603616</v>
      </c>
      <c r="C14" s="488">
        <f t="shared" ref="C14:Q14" ca="1" si="1">SUM(C4:C13)</f>
        <v>18427.500000000004</v>
      </c>
      <c r="D14" s="488">
        <f t="shared" ca="1" si="1"/>
        <v>274258.08191101067</v>
      </c>
      <c r="E14" s="488">
        <f t="shared" si="1"/>
        <v>13640.666913807774</v>
      </c>
      <c r="F14" s="488">
        <f t="shared" ca="1" si="1"/>
        <v>71026.4772069623</v>
      </c>
      <c r="G14" s="488">
        <f t="shared" si="1"/>
        <v>450810.99101306131</v>
      </c>
      <c r="H14" s="488">
        <f t="shared" si="1"/>
        <v>77584.170586843509</v>
      </c>
      <c r="I14" s="488">
        <f t="shared" si="1"/>
        <v>0</v>
      </c>
      <c r="J14" s="488">
        <f t="shared" si="1"/>
        <v>1743.6447280174657</v>
      </c>
      <c r="K14" s="488">
        <f t="shared" si="1"/>
        <v>0</v>
      </c>
      <c r="L14" s="488">
        <f t="shared" ca="1" si="1"/>
        <v>0</v>
      </c>
      <c r="M14" s="488">
        <f t="shared" si="1"/>
        <v>28640.701309613745</v>
      </c>
      <c r="N14" s="488">
        <f t="shared" ca="1" si="1"/>
        <v>57217.364846765384</v>
      </c>
      <c r="O14" s="488">
        <f t="shared" si="1"/>
        <v>626.89666666666676</v>
      </c>
      <c r="P14" s="489">
        <f t="shared" si="1"/>
        <v>2421.4666666666667</v>
      </c>
      <c r="Q14" s="489">
        <f t="shared" ca="1" si="1"/>
        <v>1158832.616809777</v>
      </c>
    </row>
    <row r="16" spans="1:17">
      <c r="A16" s="491" t="s">
        <v>556</v>
      </c>
      <c r="B16" s="841">
        <f ca="1">huishoudens!B10</f>
        <v>0.18878310762268222</v>
      </c>
      <c r="C16" s="841">
        <f ca="1">huishoudens!C10</f>
        <v>3.0260309251905894E-3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7610.7489015917745</v>
      </c>
      <c r="C21" s="478">
        <f t="shared" ref="C21:C30" ca="1" si="3">C4*$C$16</f>
        <v>0</v>
      </c>
      <c r="D21" s="478">
        <f t="shared" ref="D21:D30" si="4">D4*$D$16</f>
        <v>10846.80359245589</v>
      </c>
      <c r="E21" s="478">
        <f t="shared" ref="E21:E30" si="5">E4*$E$16</f>
        <v>2382.1913142627045</v>
      </c>
      <c r="F21" s="478">
        <f t="shared" ref="F21:F30" si="6">F4*$F$16</f>
        <v>8157.0548065223456</v>
      </c>
      <c r="G21" s="478">
        <f t="shared" ref="G21:G30" si="7">G4*$G$16</f>
        <v>0</v>
      </c>
      <c r="H21" s="478">
        <f t="shared" ref="H21:H30" si="8">H4*$H$16</f>
        <v>0</v>
      </c>
      <c r="I21" s="478">
        <f t="shared" ref="I21:I30" si="9">I4*$I$16</f>
        <v>0</v>
      </c>
      <c r="J21" s="478">
        <f t="shared" ref="J21:J30" si="10">J4*$J$16</f>
        <v>273.35921084856847</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29270.157825681283</v>
      </c>
    </row>
    <row r="22" spans="1:17">
      <c r="A22" s="477" t="s">
        <v>156</v>
      </c>
      <c r="B22" s="478">
        <f t="shared" ca="1" si="2"/>
        <v>5283.4613920647826</v>
      </c>
      <c r="C22" s="478">
        <f t="shared" ca="1" si="3"/>
        <v>0.7100365420893634</v>
      </c>
      <c r="D22" s="478">
        <f t="shared" ca="1" si="4"/>
        <v>5126.8423048427203</v>
      </c>
      <c r="E22" s="478">
        <f t="shared" si="5"/>
        <v>98.580263478579653</v>
      </c>
      <c r="F22" s="478">
        <f t="shared" ca="1" si="6"/>
        <v>1307.7687344859703</v>
      </c>
      <c r="G22" s="478">
        <f t="shared" si="7"/>
        <v>0</v>
      </c>
      <c r="H22" s="478">
        <f t="shared" si="8"/>
        <v>0</v>
      </c>
      <c r="I22" s="478">
        <f t="shared" si="9"/>
        <v>0</v>
      </c>
      <c r="J22" s="478">
        <f t="shared" si="10"/>
        <v>2.4632761367933947E-2</v>
      </c>
      <c r="K22" s="478">
        <f t="shared" si="11"/>
        <v>0</v>
      </c>
      <c r="L22" s="478">
        <f t="shared" ca="1" si="12"/>
        <v>0</v>
      </c>
      <c r="M22" s="478">
        <f t="shared" si="13"/>
        <v>0</v>
      </c>
      <c r="N22" s="478">
        <f t="shared" ca="1" si="14"/>
        <v>0</v>
      </c>
      <c r="O22" s="478">
        <f t="shared" si="15"/>
        <v>0</v>
      </c>
      <c r="P22" s="479">
        <f t="shared" si="16"/>
        <v>0</v>
      </c>
      <c r="Q22" s="477">
        <f t="shared" ref="Q22:Q30" ca="1" si="17">SUM(B22:P22)</f>
        <v>11817.387364175509</v>
      </c>
    </row>
    <row r="23" spans="1:17">
      <c r="A23" s="477" t="s">
        <v>194</v>
      </c>
      <c r="B23" s="478">
        <f t="shared" ca="1" si="2"/>
        <v>392.46988645974471</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392.46988645974471</v>
      </c>
    </row>
    <row r="24" spans="1:17">
      <c r="A24" s="477" t="s">
        <v>112</v>
      </c>
      <c r="B24" s="478">
        <f t="shared" ca="1" si="2"/>
        <v>1220.9762761437682</v>
      </c>
      <c r="C24" s="478">
        <f t="shared" ca="1" si="3"/>
        <v>55.052148331860231</v>
      </c>
      <c r="D24" s="478">
        <f t="shared" si="4"/>
        <v>1806.3112587287899</v>
      </c>
      <c r="E24" s="478">
        <f t="shared" si="5"/>
        <v>43.153365295507257</v>
      </c>
      <c r="F24" s="478">
        <f t="shared" si="6"/>
        <v>7193.9760627092664</v>
      </c>
      <c r="G24" s="478">
        <f t="shared" si="7"/>
        <v>0</v>
      </c>
      <c r="H24" s="478">
        <f t="shared" si="8"/>
        <v>0</v>
      </c>
      <c r="I24" s="478">
        <f t="shared" si="9"/>
        <v>0</v>
      </c>
      <c r="J24" s="478">
        <f t="shared" si="10"/>
        <v>331.70450646671577</v>
      </c>
      <c r="K24" s="478">
        <f t="shared" si="11"/>
        <v>0</v>
      </c>
      <c r="L24" s="478">
        <f t="shared" si="12"/>
        <v>0</v>
      </c>
      <c r="M24" s="478">
        <f t="shared" si="13"/>
        <v>0</v>
      </c>
      <c r="N24" s="478">
        <f t="shared" si="14"/>
        <v>0</v>
      </c>
      <c r="O24" s="478">
        <f t="shared" si="15"/>
        <v>0</v>
      </c>
      <c r="P24" s="479">
        <f t="shared" si="16"/>
        <v>0</v>
      </c>
      <c r="Q24" s="477">
        <f t="shared" ca="1" si="17"/>
        <v>10651.173617675908</v>
      </c>
    </row>
    <row r="25" spans="1:17">
      <c r="A25" s="477" t="s">
        <v>635</v>
      </c>
      <c r="B25" s="478">
        <f t="shared" ca="1" si="2"/>
        <v>16119.100373254703</v>
      </c>
      <c r="C25" s="478">
        <f t="shared" ca="1" si="3"/>
        <v>0</v>
      </c>
      <c r="D25" s="478">
        <f t="shared" si="4"/>
        <v>37485.705535941859</v>
      </c>
      <c r="E25" s="478">
        <f t="shared" si="5"/>
        <v>334.29921131027135</v>
      </c>
      <c r="F25" s="478">
        <f t="shared" si="6"/>
        <v>2305.2698105413519</v>
      </c>
      <c r="G25" s="478">
        <f t="shared" si="7"/>
        <v>0</v>
      </c>
      <c r="H25" s="478">
        <f t="shared" si="8"/>
        <v>0</v>
      </c>
      <c r="I25" s="478">
        <f t="shared" si="9"/>
        <v>0</v>
      </c>
      <c r="J25" s="478">
        <f t="shared" si="10"/>
        <v>12.161883641530645</v>
      </c>
      <c r="K25" s="478">
        <f t="shared" si="11"/>
        <v>0</v>
      </c>
      <c r="L25" s="478">
        <f t="shared" si="12"/>
        <v>0</v>
      </c>
      <c r="M25" s="478">
        <f t="shared" si="13"/>
        <v>0</v>
      </c>
      <c r="N25" s="478">
        <f t="shared" si="14"/>
        <v>0</v>
      </c>
      <c r="O25" s="478">
        <f t="shared" si="15"/>
        <v>0</v>
      </c>
      <c r="P25" s="479">
        <f t="shared" si="16"/>
        <v>0</v>
      </c>
      <c r="Q25" s="477">
        <f t="shared" ca="1" si="17"/>
        <v>56256.536814689716</v>
      </c>
    </row>
    <row r="26" spans="1:17" s="483" customFormat="1">
      <c r="A26" s="481" t="s">
        <v>561</v>
      </c>
      <c r="B26" s="835">
        <f t="shared" ca="1" si="2"/>
        <v>38.16211952042422</v>
      </c>
      <c r="C26" s="482">
        <f t="shared" ca="1" si="3"/>
        <v>0</v>
      </c>
      <c r="D26" s="482">
        <f t="shared" si="4"/>
        <v>134.46985405489201</v>
      </c>
      <c r="E26" s="482">
        <f t="shared" si="5"/>
        <v>238.20723508730222</v>
      </c>
      <c r="F26" s="482">
        <f t="shared" si="6"/>
        <v>0</v>
      </c>
      <c r="G26" s="482">
        <f t="shared" si="7"/>
        <v>120193.50922101953</v>
      </c>
      <c r="H26" s="482">
        <f t="shared" si="8"/>
        <v>19318.458476124033</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139922.80690580618</v>
      </c>
    </row>
    <row r="27" spans="1:17">
      <c r="A27" s="477" t="s">
        <v>551</v>
      </c>
      <c r="B27" s="478">
        <f t="shared" ca="1" si="2"/>
        <v>0</v>
      </c>
      <c r="C27" s="478">
        <f t="shared" ca="1" si="3"/>
        <v>0</v>
      </c>
      <c r="D27" s="478">
        <f t="shared" si="4"/>
        <v>0</v>
      </c>
      <c r="E27" s="478">
        <f t="shared" si="5"/>
        <v>0</v>
      </c>
      <c r="F27" s="478">
        <f t="shared" si="6"/>
        <v>0</v>
      </c>
      <c r="G27" s="478">
        <f t="shared" si="7"/>
        <v>173.02537946784008</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173.02537946784008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30664.918949035196</v>
      </c>
      <c r="C31" s="488">
        <f t="shared" ca="1" si="18"/>
        <v>55.762184873949593</v>
      </c>
      <c r="D31" s="488">
        <f t="shared" ca="1" si="18"/>
        <v>55400.132546024157</v>
      </c>
      <c r="E31" s="488">
        <f t="shared" si="18"/>
        <v>3096.431389434365</v>
      </c>
      <c r="F31" s="488">
        <f t="shared" ca="1" si="18"/>
        <v>18964.069414258935</v>
      </c>
      <c r="G31" s="488">
        <f t="shared" si="18"/>
        <v>120366.53460048737</v>
      </c>
      <c r="H31" s="488">
        <f t="shared" si="18"/>
        <v>19318.458476124033</v>
      </c>
      <c r="I31" s="488">
        <f t="shared" si="18"/>
        <v>0</v>
      </c>
      <c r="J31" s="488">
        <f t="shared" si="18"/>
        <v>617.25023371818281</v>
      </c>
      <c r="K31" s="488">
        <f t="shared" si="18"/>
        <v>0</v>
      </c>
      <c r="L31" s="488">
        <f t="shared" ca="1" si="18"/>
        <v>0</v>
      </c>
      <c r="M31" s="488">
        <f t="shared" si="18"/>
        <v>0</v>
      </c>
      <c r="N31" s="488">
        <f t="shared" ca="1" si="18"/>
        <v>0</v>
      </c>
      <c r="O31" s="488">
        <f t="shared" si="18"/>
        <v>0</v>
      </c>
      <c r="P31" s="489">
        <f t="shared" si="18"/>
        <v>0</v>
      </c>
      <c r="Q31" s="489">
        <f t="shared" ca="1" si="18"/>
        <v>248483.55779395619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0.18878310762268222</v>
      </c>
      <c r="C17" s="528">
        <f ca="1">'EF ele_warmte'!B22</f>
        <v>3.0260309251905894E-3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2</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3.1266666666666669</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0.18878310762268222</v>
      </c>
      <c r="C17" s="528">
        <f ca="1">'EF ele_warmte'!B22</f>
        <v>3.0260309251905894E-3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0.18878310762268222</v>
      </c>
      <c r="C29" s="529">
        <f ca="1">'EF ele_warmte'!B22</f>
        <v>3.0260309251905894E-3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2018-09-06T12:48:32Z</dcterms:modified>
</cp:coreProperties>
</file>