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E7" i="48"/>
  <c r="E24" s="1"/>
  <c r="P3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J5"/>
  <c r="J22" s="1"/>
  <c r="J20" i="15"/>
  <c r="K36"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4" i="48"/>
  <c r="N22"/>
  <c r="R11" i="14"/>
  <c r="J21" i="48"/>
  <c r="R10" i="14"/>
  <c r="O13" l="1"/>
  <c r="O15" s="1"/>
  <c r="Q5" i="48"/>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F25"/>
  <c r="F31" s="1"/>
  <c r="F14"/>
  <c r="R13" i="14" l="1"/>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<sst xmlns="http://schemas.openxmlformats.org/spreadsheetml/2006/main" count="1914" uniqueCount="809">
  <si>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</si>
  <si>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</si>
  <si>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</si>
  <si>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</si>
  <si>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</si>
  <si>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</si>
  <si>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</si>
  <si>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</si>
  <si>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</si>
  <si>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</si>
  <si>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</si>
  <si>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</si>
  <si>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</si>
  <si>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</si>
  <si>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</si>
  <si>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</si>
  <si>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</si>
  <si>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</si>
  <si>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</si>
  <si>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</si>
  <si>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</si>
  <si>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</si>
  <si>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</si>
  <si>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</si>
  <si>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</si>
  <si>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</si>
  <si>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</si>
  <si>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</si>
  <si>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</si>
  <si>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</si>
  <si>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</si>
  <si>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</si>
  <si>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</si>
  <si>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</si>
  <si>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</si>
  <si>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</si>
  <si>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</si>
  <si>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</si>
  <si>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</si>
  <si>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</si>
  <si>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</si>
  <si>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</si>
  <si>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</si>
  <si>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</si>
  <si>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</si>
  <si>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</si>
  <si>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</si>
  <si>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</si>
  <si>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</si>
  <si>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</si>
  <si>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</si>
  <si>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</si>
  <si>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</si>
  <si>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</si>
  <si>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</si>
  <si>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</si>
  <si>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</si>
  <si>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</si>
  <si>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</si>
  <si>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</si>
  <si>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</si>
  <si>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</si>
  <si>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</si>
  <si>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</si>
  <si>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</si>
  <si>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</si>
  <si>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</si>
  <si>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</si>
  <si>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</si>
  <si>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</si>
  <si>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</si>
  <si>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</si>
  <si>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</si>
  <si>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</si>
  <si>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</si>
  <si>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</si>
  <si>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</si>
  <si>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</si>
  <si>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</si>
  <si>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</si>
  <si>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</si>
  <si>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</si>
  <si>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</si>
  <si>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</si>
  <si>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</si>
  <si>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</si>
  <si>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</si>
  <si>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</si>
  <si>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</si>
  <si>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</si>
  <si>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</si>
  <si>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</si>
  <si>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</si>
  <si>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</si>
  <si>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</si>
  <si>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</si>
  <si>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</si>
  <si>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</si>
  <si>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</si>
  <si>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</si>
  <si>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</si>
  <si>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</si>
  <si>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</si>
  <si>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</si>
  <si>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</si>
  <si>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</si>
  <si>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</si>
  <si>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</si>
  <si>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</si>
  <si>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</si>
  <si>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</si>
  <si>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</si>
  <si>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</si>
  <si>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</si>
  <si>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</si>
  <si>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</si>
  <si>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</si>
  <si>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</si>
  <si>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</si>
  <si>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</si>
  <si>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</si>
  <si>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</si>
  <si>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</si>
  <si>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</si>
  <si>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</si>
  <si>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</si>
  <si>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</si>
  <si>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</si>
  <si>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</si>
  <si>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</si>
  <si>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</si>
  <si>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</si>
  <si>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</si>
  <si>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</si>
  <si>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</si>
  <si>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</si>
  <si>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</si>
  <si>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</si>
  <si>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</si>
  <si>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</si>
  <si>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</si>
  <si>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</si>
  <si>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</si>
  <si>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</si>
  <si>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</si>
  <si>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</si>
  <si>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</si>
  <si>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</si>
  <si>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</si>
  <si>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</si>
  <si>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</si>
  <si>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</si>
  <si>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</si>
  <si>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</si>
  <si>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</si>
  <si>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</si>
  <si>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</si>
  <si>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</si>
  <si>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</si>
  <si>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</si>
  <si>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</si>
  <si>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</si>
  <si>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</si>
  <si>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</si>
  <si>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</si>
  <si>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</si>
  <si>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</si>
  <si>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</si>
  <si>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</si>
  <si>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</si>
  <si>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</si>
  <si>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</si>
  <si>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</si>
  <si>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</si>
  <si>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</si>
  <si>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</si>
  <si>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</si>
  <si>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</si>
  <si>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</si>
  <si>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</si>
  <si>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</si>
  <si>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</si>
  <si>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</si>
  <si>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</si>
  <si>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</si>
  <si>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</si>
  <si>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</si>
  <si>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</si>
  <si>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</si>
  <si>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</si>
  <si>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</si>
  <si>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</si>
  <si>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</si>
  <si>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</si>
  <si>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</si>
  <si>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</si>
  <si>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</si>
  <si>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</si>
  <si>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</si>
  <si>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</si>
  <si>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</si>
  <si>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</si>
  <si>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</si>
  <si>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</si>
  <si>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</si>
  <si>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</si>
  <si>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</si>
  <si>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</si>
  <si>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</si>
  <si>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</si>
  <si>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</si>
  <si>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</si>
  <si>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</si>
  <si>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</si>
  <si>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</si>
  <si>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</si>
  <si>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</si>
  <si>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</si>
  <si>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</si>
  <si>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</si>
  <si>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</si>
  <si>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</si>
  <si>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</si>
  <si>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</si>
  <si>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</si>
  <si>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</si>
  <si>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</si>
  <si>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</si>
  <si>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</si>
  <si>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</si>
  <si>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</si>
  <si>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</si>
  <si>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</si>
  <si>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</si>
  <si>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</si>
  <si>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</si>
  <si>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</si>
  <si>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</si>
  <si>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</si>
  <si>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</si>
  <si>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</si>
  <si>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</si>
  <si>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</si>
  <si>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</si>
  <si>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</si>
  <si>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</si>
  <si>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</si>
  <si>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</si>
  <si>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</si>
  <si>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</si>
  <si>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</si>
  <si>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</si>
  <si>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</si>
  <si>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</si>
  <si>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</si>
  <si>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</si>
  <si>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</si>
  <si>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</si>
  <si>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</si>
  <si>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</si>
  <si>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</si>
  <si>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</si>
  <si>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</si>
  <si>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</si>
  <si>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</si>
  <si>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</si>
  <si>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</si>
  <si>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</si>
  <si>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</si>
  <si>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</si>
  <si>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</si>
  <si>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</si>
  <si>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</si>
  <si>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</si>
  <si>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</si>
  <si>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</si>
  <si>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</si>
  <si>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</si>
  <si>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</si>
  <si>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</si>
  <si>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</si>
  <si>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</si>
  <si>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</si>
  <si>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</si>
  <si>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</si>
  <si>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</si>
  <si>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</si>
  <si>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</si>
  <si>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</si>
  <si>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</si>
  <si>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</si>
  <si>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</si>
  <si>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</si>
  <si>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</si>
  <si>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</si>
  <si>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</si>
  <si>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</si>
  <si>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</si>
  <si>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</si>
  <si>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</si>
  <si>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</si>
  <si>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</si>
  <si>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</si>
  <si>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</si>
  <si>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</si>
  <si>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</si>
  <si>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</si>
  <si>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</si>
  <si>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</si>
  <si>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</si>
  <si>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</si>
  <si>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</si>
  <si>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</si>
  <si>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</si>
  <si>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</si>
  <si>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</si>
  <si>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</si>
  <si>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</si>
  <si>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</si>
  <si>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</si>
  <si>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</si>
  <si>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</si>
  <si>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</si>
  <si>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</si>
  <si>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</si>
  <si>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</si>
  <si>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</si>
  <si>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</si>
  <si>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</si>
  <si>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</si>
  <si>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</si>
  <si>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</si>
  <si>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</si>
  <si>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</si>
  <si>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</si>
  <si>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</si>
  <si>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</si>
  <si>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</si>
  <si>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</si>
  <si>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</si>
  <si>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</si>
  <si>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</si>
  <si>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</si>
  <si>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</si>
  <si>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</si>
  <si>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</si>
  <si>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</si>
  <si>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</si>
  <si>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</si>
  <si>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</si>
  <si>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</si>
  <si>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</si>
  <si>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</si>
  <si>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</si>
  <si>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</si>
  <si>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</si>
  <si>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</si>
  <si>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</si>
  <si>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</si>
  <si>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</si>
  <si>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</si>
  <si>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</si>
  <si>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</si>
  <si>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</si>
  <si>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</si>
  <si>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</si>
  <si>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</si>
  <si>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</si>
  <si>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</si>
  <si>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</si>
  <si>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</si>
  <si>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</si>
  <si>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</si>
  <si>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</si>
  <si>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</si>
  <si>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</si>
  <si>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</si>
  <si>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</si>
  <si>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</si>
  <si>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</si>
  <si>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</si>
  <si>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</si>
  <si>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</si>
  <si>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</si>
  <si>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</si>
  <si>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</si>
  <si>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</si>
  <si>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</si>
  <si>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</si>
  <si>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</si>
  <si>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</si>
  <si>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</si>
  <si>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</si>
  <si>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</si>
  <si>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</si>
  <si>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</si>
  <si>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</si>
  <si>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</si>
  <si>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</si>
  <si>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</si>
  <si>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</si>
  <si>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</si>
  <si>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</si>
  <si>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</si>
  <si>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</si>
  <si>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</si>
  <si>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</si>
  <si>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</si>
  <si>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</si>
  <si>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</si>
  <si>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</si>
  <si>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</si>
  <si>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</si>
  <si>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</si>
  <si>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</si>
  <si>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</si>
  <si>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</si>
  <si>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</si>
  <si>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</si>
  <si>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</si>
  <si>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</si>
  <si>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</si>
  <si>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</si>
  <si>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</si>
  <si>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</si>
  <si>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</si>
  <si>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</si>
  <si>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</si>
  <si>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</si>
  <si>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</si>
  <si>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</si>
  <si>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</si>
  <si>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</si>
  <si>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</si>
  <si>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</si>
  <si>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</si>
  <si>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</si>
  <si>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</si>
  <si>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</si>
  <si>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</si>
  <si>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</si>
  <si>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</si>
  <si>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</si>
  <si>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</si>
  <si>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</si>
  <si>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</si>
  <si>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</si>
  <si>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</si>
  <si>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</si>
  <si>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</si>
  <si>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</si>
  <si>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</si>
  <si>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</si>
  <si>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</si>
  <si>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</si>
  <si>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</si>
  <si>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</si>
  <si>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</si>
  <si>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</si>
  <si>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</si>
  <si>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</si>
  <si>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</si>
  <si>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</si>
  <si>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</si>
  <si>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</si>
  <si>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</si>
  <si>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</si>
  <si>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</si>
  <si>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</si>
  <si>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</si>
  <si>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</si>
  <si>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</si>
  <si>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</si>
  <si>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</si>
  <si>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</si>
  <si>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</si>
  <si>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</si>
  <si>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</si>
  <si>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</si>
  <si>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</si>
  <si>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</si>
  <si>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</si>
  <si>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</si>
  <si>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</si>
  <si>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</si>
  <si>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</si>
  <si>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</si>
  <si>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</si>
  <si>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</si>
  <si>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</si>
  <si>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</si>
  <si>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</si>
  <si>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</si>
  <si>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</si>
  <si>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</si>
  <si>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</si>
  <si>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</si>
  <si>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</si>
  <si>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</si>
  <si>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</si>
  <si>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</si>
  <si>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</si>
  <si>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</si>
  <si>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</si>
  <si>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</si>
  <si>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</si>
  <si>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</si>
  <si>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</si>
  <si>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</si>
  <si>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</si>
  <si>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</si>
  <si>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</si>
  <si>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</si>
  <si>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</si>
  <si>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</si>
  <si>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</si>
  <si>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</si>
  <si>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</si>
  <si>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</si>
  <si>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</si>
  <si>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</si>
  <si>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</si>
  <si>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</si>
  <si>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</si>
  <si>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</si>
  <si>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</si>
  <si>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</si>
  <si>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</si>
  <si>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</si>
  <si>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</si>
  <si>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</si>
  <si>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</si>
  <si>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</si>
  <si>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</si>
  <si>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</si>
  <si>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</si>
  <si>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</si>
  <si>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</si>
  <si>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</si>
  <si>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</si>
  <si>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</si>
  <si>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</si>
  <si>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</si>
  <si>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</si>
  <si>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</si>
  <si>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</si>
  <si>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</si>
  <si>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</si>
  <si>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</si>
  <si>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</si>
  <si>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</si>
  <si>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</si>
  <si>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</si>
  <si>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</si>
  <si>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</si>
  <si>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</si>
  <si>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</si>
  <si>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</si>
  <si>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</si>
  <si>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</si>
  <si>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</si>
  <si>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</si>
  <si>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</si>
  <si>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</si>
  <si>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</si>
  <si>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</si>
  <si>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</si>
  <si>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</si>
  <si>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</si>
  <si>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</si>
  <si>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</si>
  <si>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</si>
  <si>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</si>
  <si>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</si>
  <si>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</si>
  <si>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</si>
  <si>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</si>
  <si>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</si>
  <si>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</si>
  <si>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</si>
  <si>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</si>
  <si>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</si>
  <si>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</si>
  <si>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</si>
  <si>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</si>
  <si>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</si>
  <si>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</si>
  <si>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</si>
  <si>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</si>
  <si>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</si>
  <si>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</si>
  <si>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</si>
  <si>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</si>
  <si>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</si>
  <si>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</si>
  <si>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</si>
  <si>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</si>
  <si>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</si>
  <si>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</si>
  <si>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</si>
  <si>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</si>
  <si>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</si>
  <si>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</si>
  <si>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</si>
  <si>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</si>
  <si>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</si>
  <si>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</si>
  <si>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</si>
  <si>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</si>
  <si>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</si>
  <si>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</si>
  <si>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</si>
  <si>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</si>
  <si>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</si>
  <si>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</si>
  <si>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</si>
  <si>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</si>
  <si>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</si>
  <si>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</si>
  <si>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</si>
  <si>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</si>
  <si>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</si>
  <si>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</si>
  <si>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</si>
  <si>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</si>
  <si>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</si>
  <si>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</si>
  <si>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</si>
  <si>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</si>
  <si>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</si>
  <si>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</si>
  <si>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</si>
  <si>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</si>
  <si>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</si>
  <si>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</si>
  <si>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</si>
  <si>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</si>
  <si>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</si>
  <si>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</si>
  <si>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</si>
  <si>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</si>
  <si>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</si>
  <si>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</si>
  <si>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</si>
  <si>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</si>
  <si>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</si>
  <si>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</si>
  <si>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</si>
  <si>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</si>
  <si>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</si>
  <si>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</si>
  <si>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</si>
  <si>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</si>
  <si>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</si>
  <si>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</si>
  <si>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</si>
  <si>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</si>
  <si>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</si>
  <si>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</si>
  <si>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</si>
  <si>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</si>
  <si>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</si>
  <si>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</si>
  <si>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</si>
  <si>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</si>
  <si>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</si>
  <si>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</si>
  <si>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</si>
  <si>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</si>
  <si>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</si>
  <si>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</si>
  <si>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</si>
  <si>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</si>
  <si>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</si>
  <si>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</si>
  <si>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</si>
  <si>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</si>
  <si>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</si>
  <si>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</si>
  <si>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</si>
  <si>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</si>
  <si>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</si>
  <si>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</si>
  <si>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</si>
  <si>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</si>
  <si>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</si>
  <si>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</si>
  <si>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</si>
  <si>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</si>
  <si>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</si>
  <si>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</si>
  <si>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</si>
  <si>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</si>
  <si>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</si>
  <si>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</si>
  <si>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</si>
  <si>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</si>
  <si>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</si>
  <si>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</si>
  <si>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</si>
  <si>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</si>
  <si>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</si>
  <si>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</si>
  <si>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</si>
  <si>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</si>
  <si>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</si>
  <si>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</si>
  <si>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</si>
  <si>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</si>
  <si>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</si>
  <si>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</si>
  <si>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</si>
  <si>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</si>
  <si>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</si>
  <si>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</si>
  <si>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</si>
  <si>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</si>
  <si>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</si>
  <si>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</si>
  <si>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</si>
  <si>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</si>
  <si>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</si>
  <si>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</si>
  <si>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</si>
  <si>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</si>
  <si>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</si>
  <si>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</si>
  <si>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</si>
  <si>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</si>
  <si>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</si>
  <si>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</si>
  <si>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</si>
  <si>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</si>
  <si>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</si>
  <si>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</si>
  <si>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</si>
  <si>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</si>
  <si>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</si>
  <si>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</si>
  <si>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</si>
  <si>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</si>
  <si>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</si>
  <si>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</si>
  <si>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</si>
  <si>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</si>
  <si>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</si>
  <si>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</si>
  <si>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</si>
  <si>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</si>
  <si>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</si>
  <si>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</si>
  <si>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</si>
  <si>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</si>
  <si>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</si>
  <si>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</si>
  <si>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</si>
  <si>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</si>
  <si>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</si>
  <si>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</si>
  <si>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</si>
  <si>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</si>
  <si>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</si>
  <si>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</si>
  <si>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</si>
  <si>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</si>
  <si>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</si>
  <si>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</si>
  <si>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</si>
  <si>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</si>
  <si>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</si>
  <si>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</si>
  <si>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</si>
  <si>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</si>
  <si>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</si>
  <si>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</si>
  <si>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</si>
  <si>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</si>
  <si>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</si>
  <si>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</si>
  <si>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</si>
  <si>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</si>
  <si>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</si>
  <si>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</si>
  <si>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</si>
  <si>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</si>
  <si>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</si>
  <si>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</si>
  <si>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</si>
  <si>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</si>
  <si>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</si>
  <si>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</si>
  <si>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</si>
  <si>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</si>
  <si>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</si>
  <si>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</si>
  <si>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</si>
  <si>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</si>
  <si>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</si>
  <si>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</si>
  <si>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</si>
  <si>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</si>
  <si>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43018</t>
  </si>
  <si>
    <t>ZELZATE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</si>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</sst>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96903.380669151855</c:v>
                </c:pt>
                <c:pt idx="1">
                  <c:v>44032.60196816775</c:v>
                </c:pt>
                <c:pt idx="2">
                  <c:v>540.65300000000002</c:v>
                </c:pt>
                <c:pt idx="3">
                  <c:v>1203.5248274276937</c:v>
                </c:pt>
                <c:pt idx="4">
                  <c:v>44553.972730432659</c:v>
                </c:pt>
                <c:pt idx="5">
                  <c:v>110340.28502452753</c:v>
                </c:pt>
                <c:pt idx="6">
                  <c:v>613.06645622370945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748224"/>
        <c:axId val="182039680"/>
      </c:barChart>
      <c:catAx>
        <c:axId val="179748224"/>
        <c:scaling>
          <c:orientation val="minMax"/>
        </c:scaling>
        <c:axPos val="b"/>
        <c:numFmt formatCode="General" sourceLinked="0"/>
        <c:tickLblPos val="nextTo"/>
        <c:crossAx val="182039680"/>
        <c:crosses val="autoZero"/>
        <c:auto val="1"/>
        <c:lblAlgn val="ctr"/>
        <c:lblOffset val="100"/>
      </c:catAx>
      <c:valAx>
        <c:axId val="182039680"/>
        <c:scaling>
          <c:orientation val="minMax"/>
        </c:scaling>
        <c:axPos val="l"/>
        <c:majorGridlines/>
        <c:numFmt formatCode="#,##0" sourceLinked="1"/>
        <c:tickLblPos val="nextTo"/>
        <c:crossAx val="17974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96903.380669151855</c:v>
                </c:pt>
                <c:pt idx="1">
                  <c:v>44032.60196816775</c:v>
                </c:pt>
                <c:pt idx="2">
                  <c:v>540.65300000000002</c:v>
                </c:pt>
                <c:pt idx="3">
                  <c:v>1203.5248274276937</c:v>
                </c:pt>
                <c:pt idx="4">
                  <c:v>44553.972730432659</c:v>
                </c:pt>
                <c:pt idx="5">
                  <c:v>110340.28502452753</c:v>
                </c:pt>
                <c:pt idx="6">
                  <c:v>613.06645622370945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20319.644851332097</c:v>
                </c:pt>
                <c:pt idx="1">
                  <c:v>8575.3082303958054</c:v>
                </c:pt>
                <c:pt idx="2">
                  <c:v>104.12718055884024</c:v>
                </c:pt>
                <c:pt idx="3">
                  <c:v>307.14821069287137</c:v>
                </c:pt>
                <c:pt idx="4">
                  <c:v>8414.7709943326299</c:v>
                </c:pt>
                <c:pt idx="5">
                  <c:v>27655.232086976575</c:v>
                </c:pt>
                <c:pt idx="6">
                  <c:v>154.89158553412764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85600"/>
        <c:axId val="182636544"/>
      </c:barChart>
      <c:catAx>
        <c:axId val="182585600"/>
        <c:scaling>
          <c:orientation val="minMax"/>
        </c:scaling>
        <c:axPos val="b"/>
        <c:numFmt formatCode="General" sourceLinked="0"/>
        <c:tickLblPos val="nextTo"/>
        <c:crossAx val="182636544"/>
        <c:crosses val="autoZero"/>
        <c:auto val="1"/>
        <c:lblAlgn val="ctr"/>
        <c:lblOffset val="100"/>
      </c:catAx>
      <c:valAx>
        <c:axId val="182636544"/>
        <c:scaling>
          <c:orientation val="minMax"/>
        </c:scaling>
        <c:axPos val="l"/>
        <c:majorGridlines/>
        <c:numFmt formatCode="#,##0" sourceLinked="1"/>
        <c:tickLblPos val="nextTo"/>
        <c:crossAx val="1825856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20319.644851332097</c:v>
                </c:pt>
                <c:pt idx="1">
                  <c:v>8575.3082303958054</c:v>
                </c:pt>
                <c:pt idx="2">
                  <c:v>104.12718055884024</c:v>
                </c:pt>
                <c:pt idx="3">
                  <c:v>307.14821069287137</c:v>
                </c:pt>
                <c:pt idx="4">
                  <c:v>8414.7709943326299</c:v>
                </c:pt>
                <c:pt idx="5">
                  <c:v>27655.232086976575</c:v>
                </c:pt>
                <c:pt idx="6">
                  <c:v>154.89158553412764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43018</v>
      </c>
      <c r="B6" s="415"/>
      <c r="C6" s="416"/>
    </row>
    <row r="7" spans="1:7" s="413" customFormat="1" ht="15.75" customHeight="1">
      <c r="A7" s="417" t="str">
        <f>txtMunicipality</f>
        <v>ZELZATE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43018</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5408</v>
      </c>
      <c r="C9" s="342">
        <v>5610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460.55</v>
      </c>
    </row>
    <row r="15" spans="1:6">
      <c r="A15" s="348" t="s">
        <v>184</v>
      </c>
      <c r="B15" s="334">
        <v>2</v>
      </c>
    </row>
    <row r="16" spans="1:6">
      <c r="A16" s="348" t="s">
        <v>6</v>
      </c>
      <c r="B16" s="334">
        <v>149</v>
      </c>
    </row>
    <row r="17" spans="1:6">
      <c r="A17" s="348" t="s">
        <v>7</v>
      </c>
      <c r="B17" s="334">
        <v>27</v>
      </c>
    </row>
    <row r="18" spans="1:6">
      <c r="A18" s="348" t="s">
        <v>8</v>
      </c>
      <c r="B18" s="334">
        <v>117</v>
      </c>
    </row>
    <row r="19" spans="1:6">
      <c r="A19" s="348" t="s">
        <v>9</v>
      </c>
      <c r="B19" s="334">
        <v>91</v>
      </c>
    </row>
    <row r="20" spans="1:6">
      <c r="A20" s="348" t="s">
        <v>10</v>
      </c>
      <c r="B20" s="334">
        <v>79</v>
      </c>
    </row>
    <row r="21" spans="1:6">
      <c r="A21" s="348" t="s">
        <v>11</v>
      </c>
      <c r="B21" s="334">
        <v>0</v>
      </c>
    </row>
    <row r="22" spans="1:6">
      <c r="A22" s="348" t="s">
        <v>12</v>
      </c>
      <c r="B22" s="334">
        <v>505</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32219</v>
      </c>
    </row>
    <row r="29" spans="1:6">
      <c r="A29" s="355" t="s">
        <v>744</v>
      </c>
      <c r="B29" s="355">
        <v>0</v>
      </c>
      <c r="C29" s="356"/>
      <c r="D29" s="356"/>
      <c r="E29" s="356"/>
      <c r="F29" s="356"/>
    </row>
    <row r="30" spans="1:6">
      <c r="A30" s="341" t="s">
        <v>745</v>
      </c>
      <c r="B30" s="341">
        <v>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115763</v>
      </c>
    </row>
    <row r="36" spans="1:6">
      <c r="A36" s="348" t="s">
        <v>25</v>
      </c>
      <c r="B36" s="348" t="s">
        <v>27</v>
      </c>
      <c r="C36" s="334">
        <v>0</v>
      </c>
      <c r="D36" s="334">
        <v>0</v>
      </c>
      <c r="E36" s="334">
        <v>0</v>
      </c>
      <c r="F36" s="334">
        <v>0</v>
      </c>
    </row>
    <row r="37" spans="1:6">
      <c r="A37" s="348" t="s">
        <v>25</v>
      </c>
      <c r="B37" s="348" t="s">
        <v>28</v>
      </c>
      <c r="C37" s="334">
        <v>0</v>
      </c>
      <c r="D37" s="334">
        <v>0</v>
      </c>
      <c r="E37" s="334">
        <v>3</v>
      </c>
      <c r="F37" s="334">
        <v>161258</v>
      </c>
    </row>
    <row r="38" spans="1:6">
      <c r="A38" s="348" t="s">
        <v>25</v>
      </c>
      <c r="B38" s="348" t="s">
        <v>29</v>
      </c>
      <c r="C38" s="334">
        <v>0</v>
      </c>
      <c r="D38" s="334">
        <v>0</v>
      </c>
      <c r="E38" s="334">
        <v>0</v>
      </c>
      <c r="F38" s="334">
        <v>0</v>
      </c>
    </row>
    <row r="39" spans="1:6">
      <c r="A39" s="348" t="s">
        <v>30</v>
      </c>
      <c r="B39" s="348" t="s">
        <v>31</v>
      </c>
      <c r="C39" s="334">
        <v>3612</v>
      </c>
      <c r="D39" s="334">
        <v>52110479.200000003</v>
      </c>
      <c r="E39" s="334">
        <v>5484</v>
      </c>
      <c r="F39" s="334">
        <v>18302777.550000001</v>
      </c>
    </row>
    <row r="40" spans="1:6">
      <c r="A40" s="348" t="s">
        <v>30</v>
      </c>
      <c r="B40" s="348" t="s">
        <v>29</v>
      </c>
      <c r="C40" s="334">
        <v>0</v>
      </c>
      <c r="D40" s="334">
        <v>0</v>
      </c>
      <c r="E40" s="334">
        <v>0</v>
      </c>
      <c r="F40" s="334">
        <v>0</v>
      </c>
    </row>
    <row r="41" spans="1:6">
      <c r="A41" s="348" t="s">
        <v>32</v>
      </c>
      <c r="B41" s="348" t="s">
        <v>33</v>
      </c>
      <c r="C41" s="334">
        <v>42</v>
      </c>
      <c r="D41" s="334">
        <v>788665.8</v>
      </c>
      <c r="E41" s="334">
        <v>77</v>
      </c>
      <c r="F41" s="334">
        <v>769042.20000000007</v>
      </c>
    </row>
    <row r="42" spans="1:6">
      <c r="A42" s="348" t="s">
        <v>32</v>
      </c>
      <c r="B42" s="348" t="s">
        <v>34</v>
      </c>
      <c r="C42" s="334">
        <v>0</v>
      </c>
      <c r="D42" s="334">
        <v>0</v>
      </c>
      <c r="E42" s="334">
        <v>3</v>
      </c>
      <c r="F42" s="334">
        <v>38601598</v>
      </c>
    </row>
    <row r="43" spans="1:6">
      <c r="A43" s="348" t="s">
        <v>32</v>
      </c>
      <c r="B43" s="348" t="s">
        <v>35</v>
      </c>
      <c r="C43" s="334">
        <v>0</v>
      </c>
      <c r="D43" s="334">
        <v>0</v>
      </c>
      <c r="E43" s="334">
        <v>0</v>
      </c>
      <c r="F43" s="334">
        <v>0</v>
      </c>
    </row>
    <row r="44" spans="1:6">
      <c r="A44" s="348" t="s">
        <v>32</v>
      </c>
      <c r="B44" s="348" t="s">
        <v>36</v>
      </c>
      <c r="C44" s="334">
        <v>10</v>
      </c>
      <c r="D44" s="334">
        <v>149004</v>
      </c>
      <c r="E44" s="334">
        <v>16</v>
      </c>
      <c r="F44" s="334">
        <v>113493</v>
      </c>
    </row>
    <row r="45" spans="1:6">
      <c r="A45" s="348" t="s">
        <v>32</v>
      </c>
      <c r="B45" s="348" t="s">
        <v>37</v>
      </c>
      <c r="C45" s="334">
        <v>0</v>
      </c>
      <c r="D45" s="334">
        <v>0</v>
      </c>
      <c r="E45" s="334">
        <v>3</v>
      </c>
      <c r="F45" s="334">
        <v>21267</v>
      </c>
    </row>
    <row r="46" spans="1:6">
      <c r="A46" s="348" t="s">
        <v>32</v>
      </c>
      <c r="B46" s="348" t="s">
        <v>38</v>
      </c>
      <c r="C46" s="334">
        <v>0</v>
      </c>
      <c r="D46" s="334">
        <v>0</v>
      </c>
      <c r="E46" s="334">
        <v>0</v>
      </c>
      <c r="F46" s="334">
        <v>0</v>
      </c>
    </row>
    <row r="47" spans="1:6">
      <c r="A47" s="348" t="s">
        <v>32</v>
      </c>
      <c r="B47" s="348" t="s">
        <v>39</v>
      </c>
      <c r="C47" s="334">
        <v>0</v>
      </c>
      <c r="D47" s="334">
        <v>0</v>
      </c>
      <c r="E47" s="334">
        <v>6</v>
      </c>
      <c r="F47" s="334">
        <v>84028</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11</v>
      </c>
      <c r="D50" s="334">
        <v>667919</v>
      </c>
      <c r="E50" s="334">
        <v>17</v>
      </c>
      <c r="F50" s="334">
        <v>684419</v>
      </c>
    </row>
    <row r="51" spans="1:6">
      <c r="A51" s="348" t="s">
        <v>42</v>
      </c>
      <c r="B51" s="348" t="s">
        <v>43</v>
      </c>
      <c r="C51" s="334">
        <v>0</v>
      </c>
      <c r="D51" s="334">
        <v>0</v>
      </c>
      <c r="E51" s="334">
        <v>24</v>
      </c>
      <c r="F51" s="334">
        <v>225370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540653</v>
      </c>
    </row>
    <row r="55" spans="1:6">
      <c r="A55" s="348" t="s">
        <v>46</v>
      </c>
      <c r="B55" s="348" t="s">
        <v>29</v>
      </c>
      <c r="C55" s="334">
        <v>0</v>
      </c>
      <c r="D55" s="334">
        <v>0</v>
      </c>
      <c r="E55" s="334">
        <v>0</v>
      </c>
      <c r="F55" s="334">
        <v>0</v>
      </c>
    </row>
    <row r="56" spans="1:6">
      <c r="A56" s="348" t="s">
        <v>48</v>
      </c>
      <c r="B56" s="348" t="s">
        <v>29</v>
      </c>
      <c r="C56" s="334">
        <v>11</v>
      </c>
      <c r="D56" s="334">
        <v>153221468</v>
      </c>
      <c r="E56" s="334">
        <v>14</v>
      </c>
      <c r="F56" s="334">
        <v>9033199</v>
      </c>
    </row>
    <row r="57" spans="1:6">
      <c r="A57" s="348" t="s">
        <v>49</v>
      </c>
      <c r="B57" s="348" t="s">
        <v>50</v>
      </c>
      <c r="C57" s="334">
        <v>38</v>
      </c>
      <c r="D57" s="334">
        <v>3796841</v>
      </c>
      <c r="E57" s="334">
        <v>79</v>
      </c>
      <c r="F57" s="334">
        <v>2001244</v>
      </c>
    </row>
    <row r="58" spans="1:6">
      <c r="A58" s="348" t="s">
        <v>49</v>
      </c>
      <c r="B58" s="348" t="s">
        <v>51</v>
      </c>
      <c r="C58" s="334">
        <v>50</v>
      </c>
      <c r="D58" s="334">
        <v>9901394</v>
      </c>
      <c r="E58" s="334">
        <v>56</v>
      </c>
      <c r="F58" s="334">
        <v>2248268</v>
      </c>
    </row>
    <row r="59" spans="1:6">
      <c r="A59" s="348" t="s">
        <v>49</v>
      </c>
      <c r="B59" s="348" t="s">
        <v>52</v>
      </c>
      <c r="C59" s="334">
        <v>78</v>
      </c>
      <c r="D59" s="334">
        <v>3460715.2</v>
      </c>
      <c r="E59" s="334">
        <v>152</v>
      </c>
      <c r="F59" s="334">
        <v>4088467.75</v>
      </c>
    </row>
    <row r="60" spans="1:6">
      <c r="A60" s="348" t="s">
        <v>49</v>
      </c>
      <c r="B60" s="348" t="s">
        <v>53</v>
      </c>
      <c r="C60" s="334">
        <v>50</v>
      </c>
      <c r="D60" s="334">
        <v>1761765</v>
      </c>
      <c r="E60" s="334">
        <v>70</v>
      </c>
      <c r="F60" s="334">
        <v>1195419</v>
      </c>
    </row>
    <row r="61" spans="1:6">
      <c r="A61" s="348" t="s">
        <v>49</v>
      </c>
      <c r="B61" s="348" t="s">
        <v>54</v>
      </c>
      <c r="C61" s="334">
        <v>103</v>
      </c>
      <c r="D61" s="334">
        <v>5543760.2000000002</v>
      </c>
      <c r="E61" s="334">
        <v>281</v>
      </c>
      <c r="F61" s="334">
        <v>5938993.8999999994</v>
      </c>
    </row>
    <row r="62" spans="1:6">
      <c r="A62" s="348" t="s">
        <v>49</v>
      </c>
      <c r="B62" s="348" t="s">
        <v>55</v>
      </c>
      <c r="C62" s="334">
        <v>5</v>
      </c>
      <c r="D62" s="334">
        <v>1687652</v>
      </c>
      <c r="E62" s="334">
        <v>5</v>
      </c>
      <c r="F62" s="334">
        <v>305966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54188</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48169460</v>
      </c>
      <c r="E73" s="476">
        <v>48541452.905406341</v>
      </c>
    </row>
    <row r="74" spans="1:6">
      <c r="A74" s="348" t="s">
        <v>64</v>
      </c>
      <c r="B74" s="348" t="s">
        <v>657</v>
      </c>
      <c r="C74" s="1213" t="s">
        <v>659</v>
      </c>
      <c r="D74" s="476">
        <v>7180395.0655211229</v>
      </c>
      <c r="E74" s="476">
        <v>6827054.3581236834</v>
      </c>
    </row>
    <row r="75" spans="1:6">
      <c r="A75" s="348" t="s">
        <v>65</v>
      </c>
      <c r="B75" s="348" t="s">
        <v>656</v>
      </c>
      <c r="C75" s="1213" t="s">
        <v>660</v>
      </c>
      <c r="D75" s="476">
        <v>9234586</v>
      </c>
      <c r="E75" s="476">
        <v>9363279.3064684905</v>
      </c>
    </row>
    <row r="76" spans="1:6">
      <c r="A76" s="348" t="s">
        <v>65</v>
      </c>
      <c r="B76" s="348" t="s">
        <v>657</v>
      </c>
      <c r="C76" s="1213" t="s">
        <v>661</v>
      </c>
      <c r="D76" s="476">
        <v>75959.06552112331</v>
      </c>
      <c r="E76" s="476">
        <v>73298.333555585225</v>
      </c>
    </row>
    <row r="77" spans="1:6">
      <c r="A77" s="348" t="s">
        <v>66</v>
      </c>
      <c r="B77" s="348" t="s">
        <v>656</v>
      </c>
      <c r="C77" s="1213" t="s">
        <v>662</v>
      </c>
      <c r="D77" s="476">
        <v>46180351</v>
      </c>
      <c r="E77" s="476">
        <v>46692405.571513802</v>
      </c>
    </row>
    <row r="78" spans="1:6">
      <c r="A78" s="341" t="s">
        <v>66</v>
      </c>
      <c r="B78" s="341" t="s">
        <v>657</v>
      </c>
      <c r="C78" s="341" t="s">
        <v>663</v>
      </c>
      <c r="D78" s="1214">
        <v>8709351</v>
      </c>
      <c r="E78" s="1214">
        <v>8253854.045692171</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166273.86895775338</v>
      </c>
      <c r="C83" s="476">
        <v>165635.41651184906</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1603.7237993412452</v>
      </c>
    </row>
    <row r="92" spans="1:6">
      <c r="A92" s="341" t="s">
        <v>69</v>
      </c>
      <c r="B92" s="342">
        <v>8262.8237294920218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1564</v>
      </c>
    </row>
    <row r="98" spans="1:6">
      <c r="A98" s="348" t="s">
        <v>72</v>
      </c>
      <c r="B98" s="334">
        <v>1</v>
      </c>
    </row>
    <row r="99" spans="1:6">
      <c r="A99" s="348" t="s">
        <v>73</v>
      </c>
      <c r="B99" s="334">
        <v>32</v>
      </c>
    </row>
    <row r="100" spans="1:6">
      <c r="A100" s="348" t="s">
        <v>74</v>
      </c>
      <c r="B100" s="334">
        <v>384</v>
      </c>
    </row>
    <row r="101" spans="1:6">
      <c r="A101" s="348" t="s">
        <v>75</v>
      </c>
      <c r="B101" s="334">
        <v>26</v>
      </c>
    </row>
    <row r="102" spans="1:6">
      <c r="A102" s="348" t="s">
        <v>76</v>
      </c>
      <c r="B102" s="334">
        <v>104</v>
      </c>
    </row>
    <row r="103" spans="1:6">
      <c r="A103" s="348" t="s">
        <v>77</v>
      </c>
      <c r="B103" s="334">
        <v>207</v>
      </c>
    </row>
    <row r="104" spans="1:6">
      <c r="A104" s="348" t="s">
        <v>78</v>
      </c>
      <c r="B104" s="334">
        <v>2809</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73</v>
      </c>
    </row>
    <row r="130" spans="1:6">
      <c r="A130" s="348" t="s">
        <v>295</v>
      </c>
      <c r="B130" s="334">
        <v>2</v>
      </c>
    </row>
    <row r="131" spans="1:6">
      <c r="A131" s="348" t="s">
        <v>296</v>
      </c>
      <c r="B131" s="334">
        <v>0</v>
      </c>
    </row>
    <row r="132" spans="1:6">
      <c r="A132" s="341" t="s">
        <v>297</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76765.480644344905</v>
      </c>
      <c r="C3" s="43" t="s">
        <v>170</v>
      </c>
      <c r="D3" s="43"/>
      <c r="E3" s="154"/>
      <c r="F3" s="43"/>
      <c r="G3" s="43"/>
      <c r="H3" s="43"/>
      <c r="I3" s="43"/>
      <c r="J3" s="43"/>
      <c r="K3" s="96"/>
    </row>
    <row r="4" spans="1:11">
      <c r="A4" s="383" t="s">
        <v>171</v>
      </c>
      <c r="B4" s="49">
        <f>IF(ISERROR('SEAP template'!B69),0,'SEAP template'!B69)</f>
        <v>9866.5475288332673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0.19259521459945703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540.65300000000002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540.65300000000002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0.19259521459945703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104.12718055884024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18302.777550000003</v>
      </c>
      <c r="C5" s="17">
        <f>IF(ISERROR('Eigen informatie GS &amp; warmtenet'!B57),0,'Eigen informatie GS &amp; warmtenet'!B57)</f>
        <v>0</v>
      </c>
      <c r="D5" s="30">
        <f>(SUM(HH_hh_gas_kWh,HH_rest_gas_kWh)/1000)*0.902</f>
        <v>47003.652238400005</v>
      </c>
      <c r="E5" s="17">
        <f>B46*B57</f>
        <v>1267.7234563503309</v>
      </c>
      <c r="F5" s="17">
        <f>B51*B62</f>
        <v>25002.907238354655</v>
      </c>
      <c r="G5" s="18"/>
      <c r="H5" s="17"/>
      <c r="I5" s="17"/>
      <c r="J5" s="17">
        <f>B50*B61+C50*C61</f>
        <v>77.572719328592754</v>
      </c>
      <c r="K5" s="17"/>
      <c r="L5" s="17"/>
      <c r="M5" s="17"/>
      <c r="N5" s="17">
        <f>B48*B59+C48*C59</f>
        <v>3510.2703340436956</v>
      </c>
      <c r="O5" s="17">
        <f>B69*B70*B71</f>
        <v>115.68666666666667</v>
      </c>
      <c r="P5" s="17">
        <f>B77*B78*B79/1000-B77*B78*B79/1000/B80</f>
        <v>19.066666666666666</v>
      </c>
    </row>
    <row r="6" spans="1:16">
      <c r="A6" s="16" t="s">
        <v>621</v>
      </c>
      <c r="B6" s="843">
        <f>kWh_PV_kleiner_dan_10kW</f>
        <v>1603.7237993412452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19906.501349341248</v>
      </c>
      <c r="C8" s="21">
        <f>C5</f>
        <v>0</v>
      </c>
      <c r="D8" s="21">
        <f>D5</f>
        <v>47003.652238400005</v>
      </c>
      <c r="E8" s="21">
        <f>E5</f>
        <v>1267.7234563503309</v>
      </c>
      <c r="F8" s="21">
        <f>F5</f>
        <v>25002.907238354655</v>
      </c>
      <c r="G8" s="21"/>
      <c r="H8" s="21"/>
      <c r="I8" s="21"/>
      <c r="J8" s="21">
        <f>J5</f>
        <v>77.572719328592754</v>
      </c>
      <c r="K8" s="21"/>
      <c r="L8" s="21">
        <f>L5</f>
        <v>0</v>
      </c>
      <c r="M8" s="21">
        <f>M5</f>
        <v>0</v>
      </c>
      <c r="N8" s="21">
        <f>N5</f>
        <v>3510.2703340436956</v>
      </c>
      <c r="O8" s="21">
        <f>O5</f>
        <v>115.68666666666667</v>
      </c>
      <c r="P8" s="21">
        <f>P5</f>
        <v>19.066666666666666</v>
      </c>
    </row>
    <row r="9" spans="1:16">
      <c r="B9" s="19"/>
      <c r="C9" s="19"/>
      <c r="D9" s="258"/>
      <c r="E9" s="19"/>
      <c r="F9" s="19"/>
      <c r="G9" s="19"/>
      <c r="H9" s="19"/>
      <c r="I9" s="19"/>
      <c r="J9" s="19"/>
      <c r="K9" s="19"/>
      <c r="L9" s="19"/>
      <c r="M9" s="19"/>
      <c r="N9" s="19"/>
      <c r="O9" s="19"/>
      <c r="P9" s="19"/>
    </row>
    <row r="10" spans="1:16">
      <c r="A10" s="24" t="s">
        <v>214</v>
      </c>
      <c r="B10" s="25">
        <f ca="1">'EF ele_warmte'!B12</f>
        <v>0.19259521459945703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3833.8968993007584</v>
      </c>
      <c r="C12" s="23">
        <f ca="1">C10*C8</f>
        <v>0</v>
      </c>
      <c r="D12" s="23">
        <f>D8*D10</f>
        <v>9494.7377521568014</v>
      </c>
      <c r="E12" s="23">
        <f>E10*E8</f>
        <v>287.77322459152515</v>
      </c>
      <c r="F12" s="23">
        <f>F10*F8</f>
        <v>6675.7762326406937</v>
      </c>
      <c r="G12" s="23"/>
      <c r="H12" s="23"/>
      <c r="I12" s="23"/>
      <c r="J12" s="23">
        <f>J10*J8</f>
        <v>27.460742642321833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1564</v>
      </c>
      <c r="C18" s="166" t="s">
        <v>111</v>
      </c>
      <c r="D18" s="228"/>
      <c r="E18" s="15"/>
    </row>
    <row r="19" spans="1:7">
      <c r="A19" s="171" t="s">
        <v>72</v>
      </c>
      <c r="B19" s="37">
        <f>aantalw2001_ander</f>
        <v>1</v>
      </c>
      <c r="C19" s="166" t="s">
        <v>111</v>
      </c>
      <c r="D19" s="229"/>
      <c r="E19" s="15"/>
    </row>
    <row r="20" spans="1:7">
      <c r="A20" s="171" t="s">
        <v>73</v>
      </c>
      <c r="B20" s="37">
        <f>aantalw2001_propaan</f>
        <v>32</v>
      </c>
      <c r="C20" s="167">
        <f>IF(ISERROR(B20/SUM($B$20,$B$21,$B$22)*100),0,B20/SUM($B$20,$B$21,$B$22)*100)</f>
        <v>7.2398190045248878</v>
      </c>
      <c r="D20" s="229"/>
      <c r="E20" s="15"/>
    </row>
    <row r="21" spans="1:7">
      <c r="A21" s="171" t="s">
        <v>74</v>
      </c>
      <c r="B21" s="37">
        <f>aantalw2001_elektriciteit</f>
        <v>384</v>
      </c>
      <c r="C21" s="167">
        <f>IF(ISERROR(B21/SUM($B$20,$B$21,$B$22)*100),0,B21/SUM($B$20,$B$21,$B$22)*100)</f>
        <v>86.877828054298647</v>
      </c>
      <c r="D21" s="229"/>
      <c r="E21" s="15"/>
    </row>
    <row r="22" spans="1:7">
      <c r="A22" s="171" t="s">
        <v>75</v>
      </c>
      <c r="B22" s="37">
        <f>aantalw2001_hout</f>
        <v>26</v>
      </c>
      <c r="C22" s="167">
        <f>IF(ISERROR(B22/SUM($B$20,$B$21,$B$22)*100),0,B22/SUM($B$20,$B$21,$B$22)*100)</f>
        <v>5.8823529411764701</v>
      </c>
      <c r="D22" s="229"/>
      <c r="E22" s="15"/>
    </row>
    <row r="23" spans="1:7">
      <c r="A23" s="171" t="s">
        <v>76</v>
      </c>
      <c r="B23" s="37">
        <f>aantalw2001_niet_gespec</f>
        <v>104</v>
      </c>
      <c r="C23" s="166" t="s">
        <v>111</v>
      </c>
      <c r="D23" s="228"/>
      <c r="E23" s="15"/>
    </row>
    <row r="24" spans="1:7">
      <c r="A24" s="171" t="s">
        <v>77</v>
      </c>
      <c r="B24" s="37">
        <f>aantalw2001_steenkool</f>
        <v>207</v>
      </c>
      <c r="C24" s="166" t="s">
        <v>111</v>
      </c>
      <c r="D24" s="229"/>
      <c r="E24" s="15"/>
    </row>
    <row r="25" spans="1:7">
      <c r="A25" s="171" t="s">
        <v>78</v>
      </c>
      <c r="B25" s="37">
        <f>aantalw2001_stookolie</f>
        <v>2809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5408</v>
      </c>
      <c r="C28" s="36"/>
      <c r="D28" s="228"/>
    </row>
    <row r="29" spans="1:7" s="15" customFormat="1">
      <c r="A29" s="230" t="s">
        <v>795</v>
      </c>
      <c r="B29" s="37">
        <f>SUM(HH_hh_gas_aantal,HH_rest_gas_aantal)</f>
        <v>3612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3612</v>
      </c>
      <c r="C32" s="167">
        <f>IF(ISERROR(B32/SUM($B$32,$B$34,$B$35,$B$36,$B$38,$B$39)*100),0,B32/SUM($B$32,$B$34,$B$35,$B$36,$B$38,$B$39)*100)</f>
        <v>66.80229332346957</v>
      </c>
      <c r="D32" s="233"/>
      <c r="G32" s="15"/>
    </row>
    <row r="33" spans="1:7">
      <c r="A33" s="171" t="s">
        <v>72</v>
      </c>
      <c r="B33" s="34" t="s">
        <v>111</v>
      </c>
      <c r="C33" s="167"/>
      <c r="D33" s="233"/>
      <c r="G33" s="15"/>
    </row>
    <row r="34" spans="1:7">
      <c r="A34" s="171" t="s">
        <v>73</v>
      </c>
      <c r="B34" s="33">
        <f>IF((($B$28-$B$32-$B$39-$B$77-$B$38)*C20/100)&lt;0,0,($B$28-$B$32-$B$39-$B$77-$B$38)*C20/100)</f>
        <v>59.873303167420815</v>
      </c>
      <c r="C34" s="167">
        <f>IF(ISERROR(B34/SUM($B$32,$B$34,$B$35,$B$36,$B$38,$B$39)*100),0,B34/SUM($B$32,$B$34,$B$35,$B$36,$B$38,$B$39)*100)</f>
        <v>1.1073294464105936</v>
      </c>
      <c r="D34" s="233"/>
      <c r="G34" s="15"/>
    </row>
    <row r="35" spans="1:7">
      <c r="A35" s="171" t="s">
        <v>74</v>
      </c>
      <c r="B35" s="33">
        <f>IF((($B$28-$B$32-$B$39-$B$77-$B$38)*C21/100)&lt;0,0,($B$28-$B$32-$B$39-$B$77-$B$38)*C21/100)</f>
        <v>718.47963800904984</v>
      </c>
      <c r="C35" s="167">
        <f>IF(ISERROR(B35/SUM($B$32,$B$34,$B$35,$B$36,$B$38,$B$39)*100),0,B35/SUM($B$32,$B$34,$B$35,$B$36,$B$38,$B$39)*100)</f>
        <v>13.287953356927126</v>
      </c>
      <c r="D35" s="233"/>
      <c r="G35" s="15"/>
    </row>
    <row r="36" spans="1:7">
      <c r="A36" s="171" t="s">
        <v>75</v>
      </c>
      <c r="B36" s="33">
        <f>IF((($B$28-$B$32-$B$39-$B$77-$B$38)*C22/100)&lt;0,0,($B$28-$B$32-$B$39-$B$77-$B$38)*C22/100)</f>
        <v>48.647058823529406</v>
      </c>
      <c r="C36" s="167">
        <f>IF(ISERROR(B36/SUM($B$32,$B$34,$B$35,$B$36,$B$38,$B$39)*100),0,B36/SUM($B$32,$B$34,$B$35,$B$36,$B$38,$B$39)*100)</f>
        <v>0.89970517520860727</v>
      </c>
      <c r="D36" s="233"/>
      <c r="G36" s="15"/>
    </row>
    <row r="37" spans="1:7">
      <c r="A37" s="171" t="s">
        <v>76</v>
      </c>
      <c r="B37" s="34" t="s">
        <v>111</v>
      </c>
      <c r="C37" s="167"/>
      <c r="D37" s="173"/>
      <c r="G37" s="15"/>
    </row>
    <row r="38" spans="1:7">
      <c r="A38" s="171" t="s">
        <v>77</v>
      </c>
      <c r="B38" s="33">
        <f>IF((B24-(B29-B18)*0.1)&lt;0,0,B24-(B29-B18)*0.1)</f>
        <v>2.1999999999999886</v>
      </c>
      <c r="C38" s="167">
        <f>IF(ISERROR(B38/SUM($B$32,$B$34,$B$35,$B$36,$B$38,$B$39)*100),0,B38/SUM($B$32,$B$34,$B$35,$B$36,$B$38,$B$39)*100)</f>
        <v>4.0687997040872725E-2</v>
      </c>
      <c r="D38" s="234"/>
      <c r="G38" s="15"/>
    </row>
    <row r="39" spans="1:7">
      <c r="A39" s="171" t="s">
        <v>78</v>
      </c>
      <c r="B39" s="33">
        <f>IF((B25-(B29-B18))&lt;0,0,B25-(B29-B18)*0.9)</f>
        <v>965.8</v>
      </c>
      <c r="C39" s="167">
        <f>IF(ISERROR(B39/SUM($B$32,$B$34,$B$35,$B$36,$B$38,$B$39)*100),0,B39/SUM($B$32,$B$34,$B$35,$B$36,$B$38,$B$39)*100)</f>
        <v>17.862030700943219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3612</v>
      </c>
      <c r="C44" s="34" t="s">
        <v>111</v>
      </c>
      <c r="D44" s="174"/>
    </row>
    <row r="45" spans="1:7">
      <c r="A45" s="171" t="s">
        <v>72</v>
      </c>
      <c r="B45" s="33" t="str">
        <f t="shared" si="0"/>
        <v>-</v>
      </c>
      <c r="C45" s="34" t="s">
        <v>111</v>
      </c>
      <c r="D45" s="174"/>
    </row>
    <row r="46" spans="1:7">
      <c r="A46" s="171" t="s">
        <v>73</v>
      </c>
      <c r="B46" s="33">
        <f t="shared" si="0"/>
        <v>59.873303167420815</v>
      </c>
      <c r="C46" s="34" t="s">
        <v>111</v>
      </c>
      <c r="D46" s="174"/>
    </row>
    <row r="47" spans="1:7">
      <c r="A47" s="171" t="s">
        <v>74</v>
      </c>
      <c r="B47" s="33">
        <f t="shared" si="0"/>
        <v>718.47963800904984</v>
      </c>
      <c r="C47" s="34" t="s">
        <v>111</v>
      </c>
      <c r="D47" s="174"/>
    </row>
    <row r="48" spans="1:7">
      <c r="A48" s="171" t="s">
        <v>75</v>
      </c>
      <c r="B48" s="33">
        <f t="shared" si="0"/>
        <v>48.647058823529406</v>
      </c>
      <c r="C48" s="33">
        <f>B48*10</f>
        <v>486.47058823529403</v>
      </c>
      <c r="D48" s="234"/>
    </row>
    <row r="49" spans="1:6">
      <c r="A49" s="171" t="s">
        <v>76</v>
      </c>
      <c r="B49" s="33" t="str">
        <f t="shared" si="0"/>
        <v>-</v>
      </c>
      <c r="C49" s="34" t="s">
        <v>111</v>
      </c>
      <c r="D49" s="234"/>
    </row>
    <row r="50" spans="1:6">
      <c r="A50" s="171" t="s">
        <v>77</v>
      </c>
      <c r="B50" s="33">
        <f t="shared" si="0"/>
        <v>2.1999999999999886</v>
      </c>
      <c r="C50" s="33">
        <f>B50*2</f>
        <v>4.3999999999999773</v>
      </c>
      <c r="D50" s="234"/>
    </row>
    <row r="51" spans="1:6">
      <c r="A51" s="171" t="s">
        <v>78</v>
      </c>
      <c r="B51" s="33">
        <f t="shared" si="0"/>
        <v>965.8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15778.35865</v>
      </c>
      <c r="C5" s="17">
        <f>IF(ISERROR('Eigen informatie GS &amp; warmtenet'!B58),0,'Eigen informatie GS &amp; warmtenet'!B58)</f>
        <v>0</v>
      </c>
      <c r="D5" s="30">
        <f>SUM(D6:D12)</f>
        <v>23589.218914800003</v>
      </c>
      <c r="E5" s="17">
        <f>SUM(E6:E12)</f>
        <v>172.58635496989277</v>
      </c>
      <c r="F5" s="17">
        <f>SUM(F6:F12)</f>
        <v>2742.5361773053833</v>
      </c>
      <c r="G5" s="18"/>
      <c r="H5" s="17"/>
      <c r="I5" s="17"/>
      <c r="J5" s="17">
        <f>SUM(J6:J12)</f>
        <v>4.3439162580126423E-2</v>
      </c>
      <c r="K5" s="17"/>
      <c r="L5" s="17"/>
      <c r="M5" s="17"/>
      <c r="N5" s="17">
        <f>SUM(N6:N12)</f>
        <v>1746.7317652632241</v>
      </c>
      <c r="O5" s="17">
        <f>B38*B39*B40</f>
        <v>3.1266666666666669</v>
      </c>
      <c r="P5" s="17">
        <f>B46*B47*B48/1000-B46*B47*B48/1000/B49</f>
        <v>0</v>
      </c>
      <c r="R5" s="32"/>
    </row>
    <row r="6" spans="1:18">
      <c r="A6" s="32" t="s">
        <v>54</v>
      </c>
      <c r="B6" s="37">
        <f>B26</f>
        <v>5938.9938999999995</v>
      </c>
      <c r="C6" s="33"/>
      <c r="D6" s="37">
        <f>IF(ISERROR(TER_kantoor_gas_kWh/1000),0,TER_kantoor_gas_kWh/1000)*0.902</f>
        <v>5000.4717004000004</v>
      </c>
      <c r="E6" s="33">
        <f>$C$26*'E Balans VL '!I12/100/3.6*1000000</f>
        <v>3.7223638486774381E-2</v>
      </c>
      <c r="F6" s="33">
        <f>$C$26*('E Balans VL '!L12+'E Balans VL '!N12)/100/3.6*1000000</f>
        <v>892.46483185303236</v>
      </c>
      <c r="G6" s="34"/>
      <c r="H6" s="33"/>
      <c r="I6" s="33"/>
      <c r="J6" s="33">
        <f>$C$26*('E Balans VL '!D12+'E Balans VL '!E12)/100/3.6*1000000</f>
        <v>0</v>
      </c>
      <c r="K6" s="33"/>
      <c r="L6" s="33"/>
      <c r="M6" s="33"/>
      <c r="N6" s="33">
        <f>$C$26*'E Balans VL '!Y12/100/3.6*1000000</f>
        <v>5.6797671128688263</v>
      </c>
      <c r="O6" s="33"/>
      <c r="P6" s="33"/>
      <c r="R6" s="32"/>
    </row>
    <row r="7" spans="1:18">
      <c r="A7" s="32" t="s">
        <v>53</v>
      </c>
      <c r="B7" s="37">
        <f t="shared" ref="B7:B12" si="0">B27</f>
        <v>1195.4190000000001</v>
      </c>
      <c r="C7" s="33"/>
      <c r="D7" s="37">
        <f>IF(ISERROR(TER_horeca_gas_kWh/1000),0,TER_horeca_gas_kWh/1000)*0.902</f>
        <v>1589.1120300000002</v>
      </c>
      <c r="E7" s="33">
        <f>$C$27*'E Balans VL '!I9/100/3.6*1000000</f>
        <v>17.118200961206</v>
      </c>
      <c r="F7" s="33">
        <f>$C$27*('E Balans VL '!L9+'E Balans VL '!N9)/100/3.6*1000000</f>
        <v>151.37947183755756</v>
      </c>
      <c r="G7" s="34"/>
      <c r="H7" s="33"/>
      <c r="I7" s="33"/>
      <c r="J7" s="33">
        <f>$C$27*('E Balans VL '!D9+'E Balans VL '!E9)/100/3.6*1000000</f>
        <v>0</v>
      </c>
      <c r="K7" s="33"/>
      <c r="L7" s="33"/>
      <c r="M7" s="33"/>
      <c r="N7" s="33">
        <f>$C$27*'E Balans VL '!Y9/100/3.6*1000000</f>
        <v>0.34365660577350254</v>
      </c>
      <c r="O7" s="33"/>
      <c r="P7" s="33"/>
      <c r="R7" s="32"/>
    </row>
    <row r="8" spans="1:18">
      <c r="A8" s="6" t="s">
        <v>52</v>
      </c>
      <c r="B8" s="37">
        <f t="shared" si="0"/>
        <v>4088.4677499999998</v>
      </c>
      <c r="C8" s="33"/>
      <c r="D8" s="37">
        <f>IF(ISERROR(TER_handel_gas_kWh/1000),0,TER_handel_gas_kWh/1000)*0.902</f>
        <v>3121.5651104000003</v>
      </c>
      <c r="E8" s="33">
        <f>$C$28*'E Balans VL '!I13/100/3.6*1000000</f>
        <v>148.28822112524452</v>
      </c>
      <c r="F8" s="33">
        <f>$C$28*('E Balans VL '!L13+'E Balans VL '!N13)/100/3.6*1000000</f>
        <v>787.48028701799467</v>
      </c>
      <c r="G8" s="34"/>
      <c r="H8" s="33"/>
      <c r="I8" s="33"/>
      <c r="J8" s="33">
        <f>$C$28*('E Balans VL '!D13+'E Balans VL '!E13)/100/3.6*1000000</f>
        <v>0</v>
      </c>
      <c r="K8" s="33"/>
      <c r="L8" s="33"/>
      <c r="M8" s="33"/>
      <c r="N8" s="33">
        <f>$C$28*'E Balans VL '!Y13/100/3.6*1000000</f>
        <v>5.6634685482246665</v>
      </c>
      <c r="O8" s="33"/>
      <c r="P8" s="33"/>
      <c r="R8" s="32"/>
    </row>
    <row r="9" spans="1:18">
      <c r="A9" s="32" t="s">
        <v>51</v>
      </c>
      <c r="B9" s="37">
        <f t="shared" si="0"/>
        <v>2248.268</v>
      </c>
      <c r="C9" s="33"/>
      <c r="D9" s="37">
        <f>IF(ISERROR(TER_gezond_gas_kWh/1000),0,TER_gezond_gas_kWh/1000)*0.902</f>
        <v>8931.0573880000011</v>
      </c>
      <c r="E9" s="33">
        <f>$C$29*'E Balans VL '!I10/100/3.6*1000000</f>
        <v>0.14076377443626514</v>
      </c>
      <c r="F9" s="33">
        <f>$C$29*('E Balans VL '!L10+'E Balans VL '!N10)/100/3.6*1000000</f>
        <v>333.98705672414582</v>
      </c>
      <c r="G9" s="34"/>
      <c r="H9" s="33"/>
      <c r="I9" s="33"/>
      <c r="J9" s="33">
        <f>$C$29*('E Balans VL '!D10+'E Balans VL '!E10)/100/3.6*1000000</f>
        <v>0</v>
      </c>
      <c r="K9" s="33"/>
      <c r="L9" s="33"/>
      <c r="M9" s="33"/>
      <c r="N9" s="33">
        <f>$C$29*'E Balans VL '!Y10/100/3.6*1000000</f>
        <v>34.776426363317988</v>
      </c>
      <c r="O9" s="33"/>
      <c r="P9" s="33"/>
      <c r="R9" s="32"/>
    </row>
    <row r="10" spans="1:18">
      <c r="A10" s="32" t="s">
        <v>50</v>
      </c>
      <c r="B10" s="37">
        <f t="shared" si="0"/>
        <v>2001.2439999999999</v>
      </c>
      <c r="C10" s="33"/>
      <c r="D10" s="37">
        <f>IF(ISERROR(TER_ander_gas_kWh/1000),0,TER_ander_gas_kWh/1000)*0.902</f>
        <v>3424.7505820000001</v>
      </c>
      <c r="E10" s="33">
        <f>$C$30*'E Balans VL '!I14/100/3.6*1000000</f>
        <v>2.3854113356229081</v>
      </c>
      <c r="F10" s="33">
        <f>$C$30*('E Balans VL '!L14+'E Balans VL '!N14)/100/3.6*1000000</f>
        <v>523.61439872038841</v>
      </c>
      <c r="G10" s="34"/>
      <c r="H10" s="33"/>
      <c r="I10" s="33"/>
      <c r="J10" s="33">
        <f>$C$30*('E Balans VL '!D14+'E Balans VL '!E14)/100/3.6*1000000</f>
        <v>4.3439162580126423E-2</v>
      </c>
      <c r="K10" s="33"/>
      <c r="L10" s="33"/>
      <c r="M10" s="33"/>
      <c r="N10" s="33">
        <f>$C$30*'E Balans VL '!Y14/100/3.6*1000000</f>
        <v>1699.407435048618</v>
      </c>
      <c r="O10" s="33"/>
      <c r="P10" s="33"/>
      <c r="R10" s="32"/>
    </row>
    <row r="11" spans="1:18">
      <c r="A11" s="32" t="s">
        <v>55</v>
      </c>
      <c r="B11" s="37">
        <f t="shared" si="0"/>
        <v>305.96600000000001</v>
      </c>
      <c r="C11" s="33"/>
      <c r="D11" s="37">
        <f>IF(ISERROR(TER_onderwijs_gas_kWh/1000),0,TER_onderwijs_gas_kWh/1000)*0.902</f>
        <v>1522.2621040000001</v>
      </c>
      <c r="E11" s="33">
        <f>$C$31*'E Balans VL '!I11/100/3.6*1000000</f>
        <v>4.6165341348963143</v>
      </c>
      <c r="F11" s="33">
        <f>$C$31*('E Balans VL '!L11+'E Balans VL '!N11)/100/3.6*1000000</f>
        <v>53.610131152264955</v>
      </c>
      <c r="G11" s="34"/>
      <c r="H11" s="33"/>
      <c r="I11" s="33"/>
      <c r="J11" s="33">
        <f>$C$31*('E Balans VL '!D11+'E Balans VL '!E11)/100/3.6*1000000</f>
        <v>0</v>
      </c>
      <c r="K11" s="33"/>
      <c r="L11" s="33"/>
      <c r="M11" s="33"/>
      <c r="N11" s="33">
        <f>$C$31*'E Balans VL '!Y11/100/3.6*1000000</f>
        <v>0.86101158442112047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15778.35865</v>
      </c>
      <c r="C16" s="21">
        <f t="shared" ca="1" si="1"/>
        <v>0</v>
      </c>
      <c r="D16" s="21">
        <f t="shared" ca="1" si="1"/>
        <v>23589.218914800003</v>
      </c>
      <c r="E16" s="21">
        <f t="shared" si="1"/>
        <v>172.58635496989277</v>
      </c>
      <c r="F16" s="21">
        <f t="shared" ca="1" si="1"/>
        <v>2742.5361773053833</v>
      </c>
      <c r="G16" s="21">
        <f t="shared" si="1"/>
        <v>0</v>
      </c>
      <c r="H16" s="21">
        <f t="shared" si="1"/>
        <v>0</v>
      </c>
      <c r="I16" s="21">
        <f t="shared" si="1"/>
        <v>0</v>
      </c>
      <c r="J16" s="21">
        <f t="shared" si="1"/>
        <v>4.3439162580126423E-2</v>
      </c>
      <c r="K16" s="21">
        <f t="shared" si="1"/>
        <v>0</v>
      </c>
      <c r="L16" s="21">
        <f t="shared" ca="1" si="1"/>
        <v>0</v>
      </c>
      <c r="M16" s="21">
        <f t="shared" si="1"/>
        <v>0</v>
      </c>
      <c r="N16" s="21">
        <f t="shared" ca="1" si="1"/>
        <v>1746.7317652632241</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0.19259521459945703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3038.836370223949</v>
      </c>
      <c r="C20" s="23">
        <f t="shared" ref="C20:P20" ca="1" si="2">C16*C18</f>
        <v>0</v>
      </c>
      <c r="D20" s="23">
        <f t="shared" ca="1" si="2"/>
        <v>4765.0222207896013</v>
      </c>
      <c r="E20" s="23">
        <f t="shared" si="2"/>
        <v>39.177102578165659</v>
      </c>
      <c r="F20" s="23">
        <f t="shared" ca="1" si="2"/>
        <v>732.25715934053733</v>
      </c>
      <c r="G20" s="23">
        <f t="shared" si="2"/>
        <v>0</v>
      </c>
      <c r="H20" s="23">
        <f t="shared" si="2"/>
        <v>0</v>
      </c>
      <c r="I20" s="23">
        <f t="shared" si="2"/>
        <v>0</v>
      </c>
      <c r="J20" s="23">
        <f t="shared" si="2"/>
        <v>1.5377463553364753E-2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5938.9938999999995</v>
      </c>
      <c r="C26" s="39">
        <f>IF(ISERROR(B26*3.6/1000000/'E Balans VL '!Z12*100),0,B26*3.6/1000000/'E Balans VL '!Z12*100)</f>
        <v>0.12554092291972033</v>
      </c>
      <c r="D26" s="237" t="s">
        <v>754</v>
      </c>
      <c r="F26" s="6"/>
    </row>
    <row r="27" spans="1:18">
      <c r="A27" s="231" t="s">
        <v>53</v>
      </c>
      <c r="B27" s="33">
        <f>IF(ISERROR(TER_horeca_ele_kWh/1000),0,TER_horeca_ele_kWh/1000)</f>
        <v>1195.4190000000001</v>
      </c>
      <c r="C27" s="39">
        <f>IF(ISERROR(B27*3.6/1000000/'E Balans VL '!Z9*100),0,B27*3.6/1000000/'E Balans VL '!Z9*100)</f>
        <v>9.423443421459228E-2</v>
      </c>
      <c r="D27" s="237" t="s">
        <v>754</v>
      </c>
      <c r="F27" s="6"/>
    </row>
    <row r="28" spans="1:18">
      <c r="A28" s="171" t="s">
        <v>52</v>
      </c>
      <c r="B28" s="33">
        <f>IF(ISERROR(TER_handel_ele_kWh/1000),0,TER_handel_ele_kWh/1000)</f>
        <v>4088.4677499999998</v>
      </c>
      <c r="C28" s="39">
        <f>IF(ISERROR(B28*3.6/1000000/'E Balans VL '!Z13*100),0,B28*3.6/1000000/'E Balans VL '!Z13*100)</f>
        <v>0.11866385336579399</v>
      </c>
      <c r="D28" s="237" t="s">
        <v>754</v>
      </c>
      <c r="F28" s="6"/>
    </row>
    <row r="29" spans="1:18">
      <c r="A29" s="231" t="s">
        <v>51</v>
      </c>
      <c r="B29" s="33">
        <f>IF(ISERROR(TER_gezond_ele_kWh/1000),0,TER_gezond_ele_kWh/1000)</f>
        <v>2248.268</v>
      </c>
      <c r="C29" s="39">
        <f>IF(ISERROR(B29*3.6/1000000/'E Balans VL '!Z10*100),0,B29*3.6/1000000/'E Balans VL '!Z10*100)</f>
        <v>0.23677953793504025</v>
      </c>
      <c r="D29" s="237" t="s">
        <v>754</v>
      </c>
      <c r="F29" s="6"/>
    </row>
    <row r="30" spans="1:18">
      <c r="A30" s="231" t="s">
        <v>50</v>
      </c>
      <c r="B30" s="33">
        <f>IF(ISERROR(TER_ander_ele_kWh/1000),0,TER_ander_ele_kWh/1000)</f>
        <v>2001.2439999999999</v>
      </c>
      <c r="C30" s="39">
        <f>IF(ISERROR(B30*3.6/1000000/'E Balans VL '!Z14*100),0,B30*3.6/1000000/'E Balans VL '!Z14*100)</f>
        <v>0.14761219210803458</v>
      </c>
      <c r="D30" s="237" t="s">
        <v>754</v>
      </c>
      <c r="F30" s="6"/>
    </row>
    <row r="31" spans="1:18">
      <c r="A31" s="231" t="s">
        <v>55</v>
      </c>
      <c r="B31" s="33">
        <f>IF(ISERROR(TER_onderwijs_ele_kWh/1000),0,TER_onderwijs_ele_kWh/1000)</f>
        <v>305.96600000000001</v>
      </c>
      <c r="C31" s="39">
        <f>IF(ISERROR(B31*3.6/1000000/'E Balans VL '!Z11*100),0,B31*3.6/1000000/'E Balans VL '!Z11*100)</f>
        <v>7.5985690091498179E-2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40273.847199999997</v>
      </c>
      <c r="C5" s="17">
        <f>IF(ISERROR('Eigen informatie GS &amp; warmtenet'!B59),0,'Eigen informatie GS &amp; warmtenet'!B59)</f>
        <v>0</v>
      </c>
      <c r="D5" s="30">
        <f>SUM(D6:D15)</f>
        <v>1448.2410976000001</v>
      </c>
      <c r="E5" s="17">
        <f>SUM(E6:E15)</f>
        <v>323.0590975415335</v>
      </c>
      <c r="F5" s="17">
        <f>SUM(F6:F15)</f>
        <v>1094.8489181177517</v>
      </c>
      <c r="G5" s="18"/>
      <c r="H5" s="17"/>
      <c r="I5" s="17"/>
      <c r="J5" s="17">
        <f>SUM(J6:J15)</f>
        <v>4.7943808817793331E-2</v>
      </c>
      <c r="K5" s="17"/>
      <c r="L5" s="17"/>
      <c r="M5" s="17"/>
      <c r="N5" s="17">
        <f>SUM(N6:N15)</f>
        <v>1413.9284733645623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113.49299999999999</v>
      </c>
      <c r="C8" s="33"/>
      <c r="D8" s="37">
        <f>IF( ISERROR(IND_metaal_Gas_kWH/1000),0,IND_metaal_Gas_kWH/1000)*0.902</f>
        <v>134.40160799999998</v>
      </c>
      <c r="E8" s="33">
        <f>C30*'E Balans VL '!I18/100/3.6*1000000</f>
        <v>1.0434585224181812</v>
      </c>
      <c r="F8" s="33">
        <f>C30*'E Balans VL '!L18/100/3.6*1000000+C30*'E Balans VL '!N18/100/3.6*1000000</f>
        <v>10.641864835546381</v>
      </c>
      <c r="G8" s="34"/>
      <c r="H8" s="33"/>
      <c r="I8" s="33"/>
      <c r="J8" s="40">
        <f>C30*'E Balans VL '!D18/100/3.6*1000000+C30*'E Balans VL '!E18/100/3.6*1000000</f>
        <v>0</v>
      </c>
      <c r="K8" s="33"/>
      <c r="L8" s="33"/>
      <c r="M8" s="33"/>
      <c r="N8" s="33">
        <f>C30*'E Balans VL '!Y18/100/3.6*1000000</f>
        <v>1.6191652000806407</v>
      </c>
      <c r="O8" s="33"/>
      <c r="P8" s="33"/>
      <c r="R8" s="32"/>
    </row>
    <row r="9" spans="1:18">
      <c r="A9" s="6" t="s">
        <v>33</v>
      </c>
      <c r="B9" s="37">
        <f t="shared" si="0"/>
        <v>769.04220000000009</v>
      </c>
      <c r="C9" s="33"/>
      <c r="D9" s="37">
        <f>IF( ISERROR(IND_andere_gas_kWh/1000),0,IND_andere_gas_kWh/1000)*0.902</f>
        <v>711.37655159999997</v>
      </c>
      <c r="E9" s="33">
        <f>C31*'E Balans VL '!I19/100/3.6*1000000</f>
        <v>224.80600654575744</v>
      </c>
      <c r="F9" s="33">
        <f>C31*'E Balans VL '!L19/100/3.6*1000000+C31*'E Balans VL '!N19/100/3.6*1000000</f>
        <v>617.98361884575525</v>
      </c>
      <c r="G9" s="34"/>
      <c r="H9" s="33"/>
      <c r="I9" s="33"/>
      <c r="J9" s="40">
        <f>C31*'E Balans VL '!D19/100/3.6*1000000+C31*'E Balans VL '!E19/100/3.6*1000000</f>
        <v>0</v>
      </c>
      <c r="K9" s="33"/>
      <c r="L9" s="33"/>
      <c r="M9" s="33"/>
      <c r="N9" s="33">
        <f>C31*'E Balans VL '!Y19/100/3.6*1000000</f>
        <v>254.10346987889713</v>
      </c>
      <c r="O9" s="33"/>
      <c r="P9" s="33"/>
      <c r="R9" s="32"/>
    </row>
    <row r="10" spans="1:18">
      <c r="A10" s="6" t="s">
        <v>41</v>
      </c>
      <c r="B10" s="37">
        <f t="shared" si="0"/>
        <v>684.41899999999998</v>
      </c>
      <c r="C10" s="33"/>
      <c r="D10" s="37">
        <f>IF( ISERROR(IND_voed_gas_kWh/1000),0,IND_voed_gas_kWh/1000)*0.902</f>
        <v>602.46293800000001</v>
      </c>
      <c r="E10" s="33">
        <f>C32*'E Balans VL '!I20/100/3.6*1000000</f>
        <v>1.4478990065422823</v>
      </c>
      <c r="F10" s="33">
        <f>C32*'E Balans VL '!L20/100/3.6*1000000+C32*'E Balans VL '!N20/100/3.6*1000000</f>
        <v>43.516059133507298</v>
      </c>
      <c r="G10" s="34"/>
      <c r="H10" s="33"/>
      <c r="I10" s="33"/>
      <c r="J10" s="40">
        <f>C32*'E Balans VL '!D20/100/3.6*1000000+C32*'E Balans VL '!E20/100/3.6*1000000</f>
        <v>0</v>
      </c>
      <c r="K10" s="33"/>
      <c r="L10" s="33"/>
      <c r="M10" s="33"/>
      <c r="N10" s="33">
        <f>C32*'E Balans VL '!Y20/100/3.6*1000000</f>
        <v>47.231665011723443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21.266999999999999</v>
      </c>
      <c r="C12" s="33"/>
      <c r="D12" s="37">
        <f>IF( ISERROR(IND_min_gas_kWh/1000),0,IND_min_gas_kWh/1000)*0.902</f>
        <v>0</v>
      </c>
      <c r="E12" s="33">
        <f>C34*'E Balans VL '!I22/100/3.6*1000000</f>
        <v>0.61644275963692541</v>
      </c>
      <c r="F12" s="33">
        <f>C34*'E Balans VL '!L22/100/3.6*1000000+C34*'E Balans VL '!N22/100/3.6*1000000</f>
        <v>7.3118349224560903</v>
      </c>
      <c r="G12" s="34"/>
      <c r="H12" s="33"/>
      <c r="I12" s="33"/>
      <c r="J12" s="40">
        <f>C34*'E Balans VL '!D22/100/3.6*1000000+C34*'E Balans VL '!E22/100/3.6*1000000</f>
        <v>3.4948089714855593E-2</v>
      </c>
      <c r="K12" s="33"/>
      <c r="L12" s="33"/>
      <c r="M12" s="33"/>
      <c r="N12" s="33">
        <f>C34*'E Balans VL '!Y22/100/3.6*1000000</f>
        <v>4.6556957868057491</v>
      </c>
      <c r="O12" s="33"/>
      <c r="P12" s="33"/>
      <c r="R12" s="32"/>
    </row>
    <row r="13" spans="1:18">
      <c r="A13" s="6" t="s">
        <v>39</v>
      </c>
      <c r="B13" s="37">
        <f t="shared" si="0"/>
        <v>84.028000000000006</v>
      </c>
      <c r="C13" s="33"/>
      <c r="D13" s="37">
        <f>IF( ISERROR(IND_papier_gas_kWh/1000),0,IND_papier_gas_kWh/1000)*0.902</f>
        <v>0</v>
      </c>
      <c r="E13" s="33">
        <f>C35*'E Balans VL '!I23/100/3.6*1000000</f>
        <v>0.11921651494558162</v>
      </c>
      <c r="F13" s="33">
        <f>C35*'E Balans VL '!L23/100/3.6*1000000+C35*'E Balans VL '!N23/100/3.6*1000000</f>
        <v>2.0514394456516989</v>
      </c>
      <c r="G13" s="34"/>
      <c r="H13" s="33"/>
      <c r="I13" s="33"/>
      <c r="J13" s="40">
        <f>C35*'E Balans VL '!D23/100/3.6*1000000+C35*'E Balans VL '!E23/100/3.6*1000000</f>
        <v>1.2995719102937738E-2</v>
      </c>
      <c r="K13" s="33"/>
      <c r="L13" s="33"/>
      <c r="M13" s="33"/>
      <c r="N13" s="33">
        <f>C35*'E Balans VL '!Y23/100/3.6*1000000</f>
        <v>244.2495052061698</v>
      </c>
      <c r="O13" s="33"/>
      <c r="P13" s="33"/>
      <c r="R13" s="32"/>
    </row>
    <row r="14" spans="1:18">
      <c r="A14" s="6" t="s">
        <v>34</v>
      </c>
      <c r="B14" s="37">
        <f t="shared" si="0"/>
        <v>38601.597999999998</v>
      </c>
      <c r="C14" s="33"/>
      <c r="D14" s="37">
        <f>IF( ISERROR(IND_chemie_gas_kWh/1000),0,IND_chemie_gas_kWh/1000)*0.902</f>
        <v>0</v>
      </c>
      <c r="E14" s="33">
        <f>C36*'E Balans VL '!I24/100/3.6*1000000</f>
        <v>95.026074192233111</v>
      </c>
      <c r="F14" s="33">
        <f>C36*'E Balans VL '!L24/100/3.6*1000000+C36*'E Balans VL '!N24/100/3.6*1000000</f>
        <v>413.34410093483513</v>
      </c>
      <c r="G14" s="34"/>
      <c r="H14" s="33"/>
      <c r="I14" s="33"/>
      <c r="J14" s="40">
        <f>C36*'E Balans VL '!D24/100/3.6*1000000+C36*'E Balans VL '!E24/100/3.6*1000000</f>
        <v>0</v>
      </c>
      <c r="K14" s="33"/>
      <c r="L14" s="33"/>
      <c r="M14" s="33"/>
      <c r="N14" s="33">
        <f>C36*'E Balans VL '!Y24/100/3.6*1000000</f>
        <v>862.06897228088542</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40273.847199999997</v>
      </c>
      <c r="C18" s="21">
        <f>C5+C16</f>
        <v>0</v>
      </c>
      <c r="D18" s="21">
        <f>MAX((D5+D16),0)</f>
        <v>1448.2410976000001</v>
      </c>
      <c r="E18" s="21">
        <f>MAX((E5+E16),0)</f>
        <v>323.0590975415335</v>
      </c>
      <c r="F18" s="21">
        <f>MAX((F5+F16),0)</f>
        <v>1094.8489181177517</v>
      </c>
      <c r="G18" s="21"/>
      <c r="H18" s="21"/>
      <c r="I18" s="21"/>
      <c r="J18" s="21">
        <f>MAX((J5+J16),0)</f>
        <v>4.7943808817793331E-2</v>
      </c>
      <c r="K18" s="21"/>
      <c r="L18" s="21">
        <f>MAX((L5+L16),0)</f>
        <v>0</v>
      </c>
      <c r="M18" s="21"/>
      <c r="N18" s="21">
        <f>MAX((N5+N16),0)</f>
        <v>1413.9284733645623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0.19259521459945703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7756.5502442297411</v>
      </c>
      <c r="C22" s="23">
        <f ca="1">C18*C20</f>
        <v>0</v>
      </c>
      <c r="D22" s="23">
        <f>D18*D20</f>
        <v>292.54470171520006</v>
      </c>
      <c r="E22" s="23">
        <f>E18*E20</f>
        <v>73.334415141928105</v>
      </c>
      <c r="F22" s="23">
        <f>F18*F20</f>
        <v>292.3246611374397</v>
      </c>
      <c r="G22" s="23"/>
      <c r="H22" s="23"/>
      <c r="I22" s="23"/>
      <c r="J22" s="23">
        <f>J18*J20</f>
        <v>1.6972108321498838E-2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113.49299999999999</v>
      </c>
      <c r="C30" s="39">
        <f>IF(ISERROR(B30*3.6/1000000/'E Balans VL '!Z18*100),0,B30*3.6/1000000/'E Balans VL '!Z18*100)</f>
        <v>6.4319393250857945E-3</v>
      </c>
      <c r="D30" s="237" t="s">
        <v>754</v>
      </c>
    </row>
    <row r="31" spans="1:18">
      <c r="A31" s="6" t="s">
        <v>33</v>
      </c>
      <c r="B31" s="37">
        <f>IF( ISERROR(IND_ander_ele_kWh/1000),0,IND_ander_ele_kWh/1000)</f>
        <v>769.04220000000009</v>
      </c>
      <c r="C31" s="39">
        <f>IF(ISERROR(B31*3.6/1000000/'E Balans VL '!Z19*100),0,B31*3.6/1000000/'E Balans VL '!Z19*100)</f>
        <v>3.4880551956013139E-2</v>
      </c>
      <c r="D31" s="237" t="s">
        <v>754</v>
      </c>
    </row>
    <row r="32" spans="1:18">
      <c r="A32" s="171" t="s">
        <v>41</v>
      </c>
      <c r="B32" s="37">
        <f>IF( ISERROR(IND_voed_ele_kWh/1000),0,IND_voed_ele_kWh/1000)</f>
        <v>684.41899999999998</v>
      </c>
      <c r="C32" s="39">
        <f>IF(ISERROR(B32*3.6/1000000/'E Balans VL '!Z20*100),0,B32*3.6/1000000/'E Balans VL '!Z20*100)</f>
        <v>2.1172186669918925E-2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21.266999999999999</v>
      </c>
      <c r="C34" s="39">
        <f>IF(ISERROR(B34*3.6/1000000/'E Balans VL '!Z22*100),0,B34*3.6/1000000/'E Balans VL '!Z22*100)</f>
        <v>3.8252697772417359E-3</v>
      </c>
      <c r="D34" s="237" t="s">
        <v>754</v>
      </c>
    </row>
    <row r="35" spans="1:5">
      <c r="A35" s="171" t="s">
        <v>39</v>
      </c>
      <c r="B35" s="37">
        <f>IF( ISERROR(IND_papier_ele_kWh/1000),0,IND_papier_ele_kWh/1000)</f>
        <v>84.028000000000006</v>
      </c>
      <c r="C35" s="39">
        <f>IF(ISERROR(B35*3.6/1000000/'E Balans VL '!Z22*100),0,B35*3.6/1000000/'E Balans VL '!Z22*100)</f>
        <v>1.5114015556593247E-2</v>
      </c>
      <c r="D35" s="237" t="s">
        <v>754</v>
      </c>
    </row>
    <row r="36" spans="1:5">
      <c r="A36" s="171" t="s">
        <v>34</v>
      </c>
      <c r="B36" s="37">
        <f>IF( ISERROR(IND_chemie_ele_kWh/1000),0,IND_chemie_ele_kWh/1000)</f>
        <v>38601.597999999998</v>
      </c>
      <c r="C36" s="39">
        <f>IF(ISERROR(B36*3.6/1000000/'E Balans VL '!Z24*100),0,B36*3.6/1000000/'E Balans VL '!Z24*100)</f>
        <v>1.1771180893506445</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225.37</v>
      </c>
      <c r="C5" s="17">
        <f>'Eigen informatie GS &amp; warmtenet'!B60</f>
        <v>0</v>
      </c>
      <c r="D5" s="30">
        <f>IF(ISERROR(SUM(LB_lb_gas_kWh,LB_rest_gas_kWh,onbekend_gas_kWh)/1000),0,SUM(LB_lb_gas_kWh,LB_rest_gas_kWh,onbekend_gas_kWh)/1000)*0.902</f>
        <v>0</v>
      </c>
      <c r="E5" s="17">
        <f>B17*'E Balans VL '!I25/3.6*1000000/100</f>
        <v>6.624312659431479</v>
      </c>
      <c r="F5" s="17">
        <f>B17*('E Balans VL '!L25/3.6*1000000+'E Balans VL '!N25/3.6*1000000)/100</f>
        <v>938.87924164441358</v>
      </c>
      <c r="G5" s="18"/>
      <c r="H5" s="17"/>
      <c r="I5" s="17"/>
      <c r="J5" s="17">
        <f>('E Balans VL '!D25+'E Balans VL '!E25)/3.6*1000000*landbouw!B17/100</f>
        <v>32.651273123848483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225.37</v>
      </c>
      <c r="C8" s="21">
        <f>C5+C6</f>
        <v>0</v>
      </c>
      <c r="D8" s="21">
        <f>MAX((D5+D6),0)</f>
        <v>0</v>
      </c>
      <c r="E8" s="21">
        <f>MAX((E5+E6),0)</f>
        <v>6.624312659431479</v>
      </c>
      <c r="F8" s="21">
        <f>MAX((F5+F6),0)</f>
        <v>938.87924164441358</v>
      </c>
      <c r="G8" s="21"/>
      <c r="H8" s="21"/>
      <c r="I8" s="21"/>
      <c r="J8" s="21">
        <f>MAX((J5+J6),0)</f>
        <v>32.651273123848483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0.19259521459945703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43.405183514279628</v>
      </c>
      <c r="C12" s="23">
        <f ca="1">C8*C10</f>
        <v>0</v>
      </c>
      <c r="D12" s="23">
        <f>D8*D10</f>
        <v>0</v>
      </c>
      <c r="E12" s="23">
        <f>E8*E10</f>
        <v>1.5037189736909458</v>
      </c>
      <c r="F12" s="23">
        <f>F8*F10</f>
        <v>250.68075751905843</v>
      </c>
      <c r="G12" s="23"/>
      <c r="H12" s="23"/>
      <c r="I12" s="23"/>
      <c r="J12" s="23">
        <f>J8*J10</f>
        <v>11.558550685842363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3.1980710076811358E-2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37.434072100305983</v>
      </c>
      <c r="C26" s="247">
        <f>B26*'GWP N2O_CH4'!B5</f>
        <v>786.11551410642562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9.7020213934550359</v>
      </c>
      <c r="C27" s="247">
        <f>B27*'GWP N2O_CH4'!B5</f>
        <v>203.74244926255577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0.46514823219364626</v>
      </c>
      <c r="C28" s="247">
        <f>B28*'GWP N2O_CH4'!B4</f>
        <v>144.19595198003034</v>
      </c>
      <c r="D28" s="50"/>
    </row>
    <row r="29" spans="1:4">
      <c r="A29" s="41" t="s">
        <v>277</v>
      </c>
      <c r="B29" s="247">
        <f>B34*'ha_N2O bodem landbouw'!B4</f>
        <v>2.996449009320616</v>
      </c>
      <c r="C29" s="247">
        <f>B29*'GWP N2O_CH4'!B4</f>
        <v>928.89919288939097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6.83779337704295E-4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1.4670160201320166E-4</v>
      </c>
      <c r="C5" s="463" t="s">
        <v>211</v>
      </c>
      <c r="D5" s="448">
        <f>SUM(D6:D11)</f>
        <v>4.7957272580963477E-4</v>
      </c>
      <c r="E5" s="448">
        <f>SUM(E6:E11)</f>
        <v>7.1691350102162633E-4</v>
      </c>
      <c r="F5" s="461" t="s">
        <v>211</v>
      </c>
      <c r="G5" s="448">
        <f>SUM(G6:G11)</f>
        <v>0.32019980239512014</v>
      </c>
      <c r="H5" s="448">
        <f>SUM(H6:H11)</f>
        <v>5.5331812015065554E-2</v>
      </c>
      <c r="I5" s="463" t="s">
        <v>211</v>
      </c>
      <c r="J5" s="463" t="s">
        <v>211</v>
      </c>
      <c r="K5" s="463" t="s">
        <v>211</v>
      </c>
      <c r="L5" s="463" t="s">
        <v>211</v>
      </c>
      <c r="M5" s="448">
        <f>SUM(M6:M11)</f>
        <v>2.0350223849268961E-2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6.8220090619544143E-5</v>
      </c>
      <c r="C6" s="449"/>
      <c r="D6" s="962">
        <f>vkm_2011_GW_PW*SUMIFS(TableVerdeelsleutelVkm[CNG],TableVerdeelsleutelVkm[Voertuigtype],"Lichte voertuigen")*SUMIFS(TableECFTransport[EnergieConsumptieFactor (PJ per km)],TableECFTransport[Index],CONCATENATE($A6,"_CNG_CNG"))</f>
        <v>2.0462111708817343E-4</v>
      </c>
      <c r="E6" s="962">
        <f>vkm_2011_GW_PW*SUMIFS(TableVerdeelsleutelVkm[LPG],TableVerdeelsleutelVkm[Voertuigtype],"Lichte voertuigen")*SUMIFS(TableECFTransport[EnergieConsumptieFactor (PJ per km)],TableECFTransport[Index],CONCATENATE($A6,"_LPG_LPG"))</f>
        <v>2.7954183831739208E-4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7.2276704991838969E-2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2.3269226941985421E-2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4.9133596661099094E-3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6.7381179763100221E-2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2.0532822450816523E-5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3.9375324061071693E-3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1.307850023134936E-5</v>
      </c>
      <c r="C8" s="449"/>
      <c r="D8" s="451">
        <f>vkm_2011_NGW_PW*SUMIFS(TableVerdeelsleutelVkm[CNG],TableVerdeelsleutelVkm[Voertuigtype],"Lichte voertuigen")*SUMIFS(TableECFTransport[EnergieConsumptieFactor (PJ per km)],TableECFTransport[Index],CONCATENATE($A8,"_CNG_CNG"))</f>
        <v>6.9747813342968491E-5</v>
      </c>
      <c r="E8" s="451">
        <f>vkm_2011_NGW_PW*SUMIFS(TableVerdeelsleutelVkm[LPG],TableVerdeelsleutelVkm[Voertuigtype],"Lichte voertuigen")*SUMIFS(TableECFTransport[EnergieConsumptieFactor (PJ per km)],TableECFTransport[Index],CONCATENATE($A8,"_LPG_LPG"))</f>
        <v>8.8245214866601026E-5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2.1262253814934264E-2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7.7078009640323616E-3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1.4709952293891506E-3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9.1398792386255731E-4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2.6219895141839125E-7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5.340993523641166E-5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6.5403011162308149E-5</v>
      </c>
      <c r="C10" s="449"/>
      <c r="D10" s="451">
        <f>vkm_2011_SW_PW*SUMIFS(TableVerdeelsleutelVkm[CNG],TableVerdeelsleutelVkm[Voertuigtype],"Lichte voertuigen")*SUMIFS(TableECFTransport[EnergieConsumptieFactor (PJ per km)],TableECFTransport[Index],CONCATENATE($A10,"_CNG_CNG"))</f>
        <v>2.052037953784928E-4</v>
      </c>
      <c r="E10" s="451">
        <f>vkm_2011_SW_PW*SUMIFS(TableVerdeelsleutelVkm[LPG],TableVerdeelsleutelVkm[Voertuigtype],"Lichte voertuigen")*SUMIFS(TableECFTransport[EnergieConsumptieFactor (PJ per km)],TableECFTransport[Index],CONCATENATE($A10,"_LPG_LPG"))</f>
        <v>3.491264478376333E-4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8.0474437241525004E-2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2.4308357342375998E-2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5.4231650015152391E-3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7.7891238659859169E-2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2.5631745269538044E-5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4.5517616109110783E-3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40.750445003667124</v>
      </c>
      <c r="C14" s="21"/>
      <c r="D14" s="21">
        <f t="shared" ref="D14:M14" si="0">((D5)*10^9/3600)+D12</f>
        <v>133.21464605823189</v>
      </c>
      <c r="E14" s="21">
        <f t="shared" si="0"/>
        <v>199.14263917267397</v>
      </c>
      <c r="F14" s="21"/>
      <c r="G14" s="21">
        <f t="shared" si="0"/>
        <v>88944.389554200039</v>
      </c>
      <c r="H14" s="21">
        <f t="shared" si="0"/>
        <v>15369.947781962654</v>
      </c>
      <c r="I14" s="21"/>
      <c r="J14" s="21"/>
      <c r="K14" s="21"/>
      <c r="L14" s="21"/>
      <c r="M14" s="21">
        <f t="shared" si="0"/>
        <v>5652.8399581302674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0.19259521459945703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7.8483407005046413</v>
      </c>
      <c r="C18" s="23"/>
      <c r="D18" s="23">
        <f t="shared" ref="D18:M18" si="1">D14*D16</f>
        <v>26.909358503762842</v>
      </c>
      <c r="E18" s="23">
        <f t="shared" si="1"/>
        <v>45.205379092196992</v>
      </c>
      <c r="F18" s="23"/>
      <c r="G18" s="23">
        <f t="shared" si="1"/>
        <v>23748.152010971411</v>
      </c>
      <c r="H18" s="23">
        <f t="shared" si="1"/>
        <v>3827.1169977087006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2.0884258723702603E-3</v>
      </c>
      <c r="H50" s="321">
        <f t="shared" si="2"/>
        <v>0</v>
      </c>
      <c r="I50" s="321">
        <f t="shared" si="2"/>
        <v>0</v>
      </c>
      <c r="J50" s="321">
        <f t="shared" si="2"/>
        <v>0</v>
      </c>
      <c r="K50" s="321">
        <f t="shared" si="2"/>
        <v>0</v>
      </c>
      <c r="L50" s="321">
        <f t="shared" si="2"/>
        <v>0</v>
      </c>
      <c r="M50" s="321">
        <f t="shared" si="2"/>
        <v>1.186133700350937E-4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2.0884258723702603E-3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1.186133700350937E-4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580.11829788062789</v>
      </c>
      <c r="H54" s="21">
        <f t="shared" si="3"/>
        <v>0</v>
      </c>
      <c r="I54" s="21">
        <f t="shared" si="3"/>
        <v>0</v>
      </c>
      <c r="J54" s="21">
        <f t="shared" si="3"/>
        <v>0</v>
      </c>
      <c r="K54" s="21">
        <f t="shared" si="3"/>
        <v>0</v>
      </c>
      <c r="L54" s="21">
        <f t="shared" si="3"/>
        <v>0</v>
      </c>
      <c r="M54" s="21">
        <f t="shared" si="3"/>
        <v>32.94815834308158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0.19259521459945703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154.89158553412764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9866.5475288332673</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9866.5475288332673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16319.01165</v>
      </c>
      <c r="D10" s="718">
        <f ca="1">tertiair!C16</f>
        <v>0</v>
      </c>
      <c r="E10" s="718">
        <f ca="1">tertiair!D16</f>
        <v>23589.218914800003</v>
      </c>
      <c r="F10" s="718">
        <f>tertiair!E16</f>
        <v>172.58635496989277</v>
      </c>
      <c r="G10" s="718">
        <f ca="1">tertiair!F16</f>
        <v>2742.5361773053833</v>
      </c>
      <c r="H10" s="718">
        <f>tertiair!G16</f>
        <v>0</v>
      </c>
      <c r="I10" s="718">
        <f>tertiair!H16</f>
        <v>0</v>
      </c>
      <c r="J10" s="718">
        <f>tertiair!I16</f>
        <v>0</v>
      </c>
      <c r="K10" s="718">
        <f>tertiair!J16</f>
        <v>4.3439162580126423E-2</v>
      </c>
      <c r="L10" s="718">
        <f>tertiair!K16</f>
        <v>0</v>
      </c>
      <c r="M10" s="718">
        <f ca="1">tertiair!L16</f>
        <v>0</v>
      </c>
      <c r="N10" s="718">
        <f>tertiair!M16</f>
        <v>0</v>
      </c>
      <c r="O10" s="718">
        <f ca="1">tertiair!N16</f>
        <v>1746.7317652632241</v>
      </c>
      <c r="P10" s="718">
        <f>tertiair!O16</f>
        <v>3.1266666666666669</v>
      </c>
      <c r="Q10" s="719">
        <f>tertiair!P16</f>
        <v>0</v>
      </c>
      <c r="R10" s="721">
        <f ca="1">SUM(C10:Q10)</f>
        <v>44573.254968167748</v>
      </c>
      <c r="S10" s="67"/>
    </row>
    <row r="11" spans="1:19" s="474" customFormat="1">
      <c r="A11" s="870" t="s">
        <v>225</v>
      </c>
      <c r="B11" s="875"/>
      <c r="C11" s="718">
        <f>huishoudens!B8</f>
        <v>19906.501349341248</v>
      </c>
      <c r="D11" s="718">
        <f>huishoudens!C8</f>
        <v>0</v>
      </c>
      <c r="E11" s="718">
        <f>huishoudens!D8</f>
        <v>47003.652238400005</v>
      </c>
      <c r="F11" s="718">
        <f>huishoudens!E8</f>
        <v>1267.7234563503309</v>
      </c>
      <c r="G11" s="718">
        <f>huishoudens!F8</f>
        <v>25002.907238354655</v>
      </c>
      <c r="H11" s="718">
        <f>huishoudens!G8</f>
        <v>0</v>
      </c>
      <c r="I11" s="718">
        <f>huishoudens!H8</f>
        <v>0</v>
      </c>
      <c r="J11" s="718">
        <f>huishoudens!I8</f>
        <v>0</v>
      </c>
      <c r="K11" s="718">
        <f>huishoudens!J8</f>
        <v>77.572719328592754</v>
      </c>
      <c r="L11" s="718">
        <f>huishoudens!K8</f>
        <v>0</v>
      </c>
      <c r="M11" s="718">
        <f>huishoudens!L8</f>
        <v>0</v>
      </c>
      <c r="N11" s="718">
        <f>huishoudens!M8</f>
        <v>0</v>
      </c>
      <c r="O11" s="718">
        <f>huishoudens!N8</f>
        <v>3510.2703340436956</v>
      </c>
      <c r="P11" s="718">
        <f>huishoudens!O8</f>
        <v>115.68666666666667</v>
      </c>
      <c r="Q11" s="719">
        <f>huishoudens!P8</f>
        <v>19.066666666666666</v>
      </c>
      <c r="R11" s="721">
        <f>SUM(C11:Q11)</f>
        <v>96903.380669151855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40273.847199999997</v>
      </c>
      <c r="D13" s="718">
        <f>industrie!C18</f>
        <v>0</v>
      </c>
      <c r="E13" s="718">
        <f>industrie!D18</f>
        <v>1448.2410976000001</v>
      </c>
      <c r="F13" s="718">
        <f>industrie!E18</f>
        <v>323.0590975415335</v>
      </c>
      <c r="G13" s="718">
        <f>industrie!F18</f>
        <v>1094.8489181177517</v>
      </c>
      <c r="H13" s="718">
        <f>industrie!G18</f>
        <v>0</v>
      </c>
      <c r="I13" s="718">
        <f>industrie!H18</f>
        <v>0</v>
      </c>
      <c r="J13" s="718">
        <f>industrie!I18</f>
        <v>0</v>
      </c>
      <c r="K13" s="718">
        <f>industrie!J18</f>
        <v>4.7943808817793331E-2</v>
      </c>
      <c r="L13" s="718">
        <f>industrie!K18</f>
        <v>0</v>
      </c>
      <c r="M13" s="718">
        <f>industrie!L18</f>
        <v>0</v>
      </c>
      <c r="N13" s="718">
        <f>industrie!M18</f>
        <v>0</v>
      </c>
      <c r="O13" s="718">
        <f>industrie!N18</f>
        <v>1413.9284733645623</v>
      </c>
      <c r="P13" s="718">
        <f>industrie!O18</f>
        <v>0</v>
      </c>
      <c r="Q13" s="719">
        <f>industrie!P18</f>
        <v>0</v>
      </c>
      <c r="R13" s="721">
        <f>SUM(C13:Q13)</f>
        <v>44553.972730432659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76499.360199341245</v>
      </c>
      <c r="D15" s="723">
        <f t="shared" ref="D15:Q15" ca="1" si="0">SUM(D9:D14)</f>
        <v>0</v>
      </c>
      <c r="E15" s="723">
        <f t="shared" ca="1" si="0"/>
        <v>72041.112250800012</v>
      </c>
      <c r="F15" s="723">
        <f t="shared" si="0"/>
        <v>1763.3689088617571</v>
      </c>
      <c r="G15" s="723">
        <f t="shared" ca="1" si="0"/>
        <v>28840.29233377779</v>
      </c>
      <c r="H15" s="723">
        <f t="shared" si="0"/>
        <v>0</v>
      </c>
      <c r="I15" s="723">
        <f t="shared" si="0"/>
        <v>0</v>
      </c>
      <c r="J15" s="723">
        <f t="shared" si="0"/>
        <v>0</v>
      </c>
      <c r="K15" s="723">
        <f t="shared" si="0"/>
        <v>77.664102299990674</v>
      </c>
      <c r="L15" s="723">
        <f t="shared" si="0"/>
        <v>0</v>
      </c>
      <c r="M15" s="723">
        <f t="shared" ca="1" si="0"/>
        <v>0</v>
      </c>
      <c r="N15" s="723">
        <f t="shared" si="0"/>
        <v>0</v>
      </c>
      <c r="O15" s="723">
        <f t="shared" ca="1" si="0"/>
        <v>6670.9305726714811</v>
      </c>
      <c r="P15" s="723">
        <f t="shared" si="0"/>
        <v>118.81333333333333</v>
      </c>
      <c r="Q15" s="724">
        <f t="shared" si="0"/>
        <v>19.066666666666666</v>
      </c>
      <c r="R15" s="725">
        <f ca="1">SUM(R9:R14)</f>
        <v>186030.60836775225</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580.11829788062789</v>
      </c>
      <c r="I18" s="718">
        <f>transport!H54</f>
        <v>0</v>
      </c>
      <c r="J18" s="718">
        <f>transport!I54</f>
        <v>0</v>
      </c>
      <c r="K18" s="718">
        <f>transport!J54</f>
        <v>0</v>
      </c>
      <c r="L18" s="718">
        <f>transport!K54</f>
        <v>0</v>
      </c>
      <c r="M18" s="718">
        <f>transport!L54</f>
        <v>0</v>
      </c>
      <c r="N18" s="718">
        <f>transport!M54</f>
        <v>32.94815834308158</v>
      </c>
      <c r="O18" s="718">
        <f>transport!N54</f>
        <v>0</v>
      </c>
      <c r="P18" s="718">
        <f>transport!O54</f>
        <v>0</v>
      </c>
      <c r="Q18" s="719">
        <f>transport!P54</f>
        <v>0</v>
      </c>
      <c r="R18" s="721">
        <f>SUM(C18:Q18)</f>
        <v>613.06645622370945</v>
      </c>
      <c r="S18" s="67"/>
    </row>
    <row r="19" spans="1:19" s="474" customFormat="1" ht="15" thickBot="1">
      <c r="A19" s="870" t="s">
        <v>307</v>
      </c>
      <c r="B19" s="875"/>
      <c r="C19" s="727">
        <f>transport!B14</f>
        <v>40.750445003667124</v>
      </c>
      <c r="D19" s="727">
        <f>transport!C14</f>
        <v>0</v>
      </c>
      <c r="E19" s="727">
        <f>transport!D14</f>
        <v>133.21464605823189</v>
      </c>
      <c r="F19" s="727">
        <f>transport!E14</f>
        <v>199.14263917267397</v>
      </c>
      <c r="G19" s="727">
        <f>transport!F14</f>
        <v>0</v>
      </c>
      <c r="H19" s="727">
        <f>transport!G14</f>
        <v>88944.389554200039</v>
      </c>
      <c r="I19" s="727">
        <f>transport!H14</f>
        <v>15369.947781962654</v>
      </c>
      <c r="J19" s="727">
        <f>transport!I14</f>
        <v>0</v>
      </c>
      <c r="K19" s="727">
        <f>transport!J14</f>
        <v>0</v>
      </c>
      <c r="L19" s="727">
        <f>transport!K14</f>
        <v>0</v>
      </c>
      <c r="M19" s="727">
        <f>transport!L14</f>
        <v>0</v>
      </c>
      <c r="N19" s="727">
        <f>transport!M14</f>
        <v>5652.8399581302674</v>
      </c>
      <c r="O19" s="727">
        <f>transport!N14</f>
        <v>0</v>
      </c>
      <c r="P19" s="727">
        <f>transport!O14</f>
        <v>0</v>
      </c>
      <c r="Q19" s="728">
        <f>transport!P14</f>
        <v>0</v>
      </c>
      <c r="R19" s="729">
        <f>SUM(C19:Q19)</f>
        <v>110340.28502452753</v>
      </c>
      <c r="S19" s="67"/>
    </row>
    <row r="20" spans="1:19" s="474" customFormat="1" ht="15.75" thickBot="1">
      <c r="A20" s="730" t="s">
        <v>230</v>
      </c>
      <c r="B20" s="878"/>
      <c r="C20" s="873">
        <f>SUM(C17:C19)</f>
        <v>40.750445003667124</v>
      </c>
      <c r="D20" s="731">
        <f t="shared" ref="D20:R20" si="1">SUM(D17:D19)</f>
        <v>0</v>
      </c>
      <c r="E20" s="731">
        <f t="shared" si="1"/>
        <v>133.21464605823189</v>
      </c>
      <c r="F20" s="731">
        <f t="shared" si="1"/>
        <v>199.14263917267397</v>
      </c>
      <c r="G20" s="731">
        <f t="shared" si="1"/>
        <v>0</v>
      </c>
      <c r="H20" s="731">
        <f t="shared" si="1"/>
        <v>89524.507852080671</v>
      </c>
      <c r="I20" s="731">
        <f t="shared" si="1"/>
        <v>15369.947781962654</v>
      </c>
      <c r="J20" s="731">
        <f t="shared" si="1"/>
        <v>0</v>
      </c>
      <c r="K20" s="731">
        <f t="shared" si="1"/>
        <v>0</v>
      </c>
      <c r="L20" s="731">
        <f t="shared" si="1"/>
        <v>0</v>
      </c>
      <c r="M20" s="731">
        <f t="shared" si="1"/>
        <v>0</v>
      </c>
      <c r="N20" s="731">
        <f t="shared" si="1"/>
        <v>5685.788116473349</v>
      </c>
      <c r="O20" s="731">
        <f t="shared" si="1"/>
        <v>0</v>
      </c>
      <c r="P20" s="731">
        <f t="shared" si="1"/>
        <v>0</v>
      </c>
      <c r="Q20" s="732">
        <f t="shared" si="1"/>
        <v>0</v>
      </c>
      <c r="R20" s="733">
        <f t="shared" si="1"/>
        <v>110953.35148075124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225.37</v>
      </c>
      <c r="D22" s="727">
        <f>+landbouw!C8</f>
        <v>0</v>
      </c>
      <c r="E22" s="727">
        <f>+landbouw!D8</f>
        <v>0</v>
      </c>
      <c r="F22" s="727">
        <f>+landbouw!E8</f>
        <v>6.624312659431479</v>
      </c>
      <c r="G22" s="727">
        <f>+landbouw!F8</f>
        <v>938.87924164441358</v>
      </c>
      <c r="H22" s="727">
        <f>+landbouw!G8</f>
        <v>0</v>
      </c>
      <c r="I22" s="727">
        <f>+landbouw!H8</f>
        <v>0</v>
      </c>
      <c r="J22" s="727">
        <f>+landbouw!I8</f>
        <v>0</v>
      </c>
      <c r="K22" s="727">
        <f>+landbouw!J8</f>
        <v>32.651273123848483</v>
      </c>
      <c r="L22" s="727">
        <f>+landbouw!K8</f>
        <v>0</v>
      </c>
      <c r="M22" s="727">
        <f>+landbouw!L8</f>
        <v>0</v>
      </c>
      <c r="N22" s="727">
        <f>+landbouw!M8</f>
        <v>0</v>
      </c>
      <c r="O22" s="727">
        <f>+landbouw!N8</f>
        <v>0</v>
      </c>
      <c r="P22" s="727">
        <f>+landbouw!O8</f>
        <v>0</v>
      </c>
      <c r="Q22" s="728">
        <f>+landbouw!P8</f>
        <v>0</v>
      </c>
      <c r="R22" s="729">
        <f>SUM(C22:Q22)</f>
        <v>1203.5248274276937</v>
      </c>
      <c r="S22" s="67"/>
    </row>
    <row r="23" spans="1:19" s="474" customFormat="1" ht="17.25" thickTop="1" thickBot="1">
      <c r="A23" s="734" t="s">
        <v>116</v>
      </c>
      <c r="B23" s="864"/>
      <c r="C23" s="735">
        <f ca="1">C20+C15+C22</f>
        <v>76765.480644344905</v>
      </c>
      <c r="D23" s="735">
        <f t="shared" ref="D23:Q23" ca="1" si="2">D20+D15+D22</f>
        <v>0</v>
      </c>
      <c r="E23" s="735">
        <f t="shared" ca="1" si="2"/>
        <v>72174.326896858242</v>
      </c>
      <c r="F23" s="735">
        <f t="shared" si="2"/>
        <v>1969.1358606938627</v>
      </c>
      <c r="G23" s="735">
        <f t="shared" ca="1" si="2"/>
        <v>29779.171575422202</v>
      </c>
      <c r="H23" s="735">
        <f t="shared" si="2"/>
        <v>89524.507852080671</v>
      </c>
      <c r="I23" s="735">
        <f t="shared" si="2"/>
        <v>15369.947781962654</v>
      </c>
      <c r="J23" s="735">
        <f t="shared" si="2"/>
        <v>0</v>
      </c>
      <c r="K23" s="735">
        <f t="shared" si="2"/>
        <v>110.31537542383916</v>
      </c>
      <c r="L23" s="735">
        <f t="shared" si="2"/>
        <v>0</v>
      </c>
      <c r="M23" s="735">
        <f t="shared" ca="1" si="2"/>
        <v>0</v>
      </c>
      <c r="N23" s="735">
        <f t="shared" si="2"/>
        <v>5685.788116473349</v>
      </c>
      <c r="O23" s="735">
        <f t="shared" ca="1" si="2"/>
        <v>6670.9305726714811</v>
      </c>
      <c r="P23" s="735">
        <f t="shared" si="2"/>
        <v>118.81333333333333</v>
      </c>
      <c r="Q23" s="736">
        <f t="shared" si="2"/>
        <v>19.066666666666666</v>
      </c>
      <c r="R23" s="737">
        <f ca="1">R20+R15+R22</f>
        <v>298187.48467593116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3142.9635507827893</v>
      </c>
      <c r="D36" s="718">
        <f ca="1">tertiair!C20</f>
        <v>0</v>
      </c>
      <c r="E36" s="718">
        <f ca="1">tertiair!D20</f>
        <v>4765.0222207896013</v>
      </c>
      <c r="F36" s="718">
        <f>tertiair!E20</f>
        <v>39.177102578165659</v>
      </c>
      <c r="G36" s="718">
        <f ca="1">tertiair!F20</f>
        <v>732.25715934053733</v>
      </c>
      <c r="H36" s="718">
        <f>tertiair!G20</f>
        <v>0</v>
      </c>
      <c r="I36" s="718">
        <f>tertiair!H20</f>
        <v>0</v>
      </c>
      <c r="J36" s="718">
        <f>tertiair!I20</f>
        <v>0</v>
      </c>
      <c r="K36" s="718">
        <f>tertiair!J20</f>
        <v>1.5377463553364753E-2</v>
      </c>
      <c r="L36" s="718">
        <f>tertiair!K20</f>
        <v>0</v>
      </c>
      <c r="M36" s="718">
        <f ca="1">tertiair!L20</f>
        <v>0</v>
      </c>
      <c r="N36" s="718">
        <f>tertiair!M20</f>
        <v>0</v>
      </c>
      <c r="O36" s="718">
        <f ca="1">tertiair!N20</f>
        <v>0</v>
      </c>
      <c r="P36" s="718">
        <f>tertiair!O20</f>
        <v>0</v>
      </c>
      <c r="Q36" s="828">
        <f>tertiair!P20</f>
        <v>0</v>
      </c>
      <c r="R36" s="917">
        <f ca="1">SUM(C36:Q36)</f>
        <v>8679.4354109546457</v>
      </c>
    </row>
    <row r="37" spans="1:18">
      <c r="A37" s="885" t="s">
        <v>225</v>
      </c>
      <c r="B37" s="892"/>
      <c r="C37" s="718">
        <f ca="1">huishoudens!B12</f>
        <v>3833.8968993007584</v>
      </c>
      <c r="D37" s="718">
        <f ca="1">huishoudens!C12</f>
        <v>0</v>
      </c>
      <c r="E37" s="718">
        <f>huishoudens!D12</f>
        <v>9494.7377521568014</v>
      </c>
      <c r="F37" s="718">
        <f>huishoudens!E12</f>
        <v>287.77322459152515</v>
      </c>
      <c r="G37" s="718">
        <f>huishoudens!F12</f>
        <v>6675.7762326406937</v>
      </c>
      <c r="H37" s="718">
        <f>huishoudens!G12</f>
        <v>0</v>
      </c>
      <c r="I37" s="718">
        <f>huishoudens!H12</f>
        <v>0</v>
      </c>
      <c r="J37" s="718">
        <f>huishoudens!I12</f>
        <v>0</v>
      </c>
      <c r="K37" s="718">
        <f>huishoudens!J12</f>
        <v>27.460742642321833</v>
      </c>
      <c r="L37" s="718">
        <f>huishoudens!K12</f>
        <v>0</v>
      </c>
      <c r="M37" s="718">
        <f>huishoudens!L12</f>
        <v>0</v>
      </c>
      <c r="N37" s="718">
        <f>huishoudens!M12</f>
        <v>0</v>
      </c>
      <c r="O37" s="718">
        <f>huishoudens!N12</f>
        <v>0</v>
      </c>
      <c r="P37" s="718">
        <f>huishoudens!O12</f>
        <v>0</v>
      </c>
      <c r="Q37" s="828">
        <f>huishoudens!P12</f>
        <v>0</v>
      </c>
      <c r="R37" s="917">
        <f ca="1">SUM(C37:Q37)</f>
        <v>20319.644851332097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7756.5502442297411</v>
      </c>
      <c r="D39" s="718">
        <f ca="1">industrie!C22</f>
        <v>0</v>
      </c>
      <c r="E39" s="718">
        <f>industrie!D22</f>
        <v>292.54470171520006</v>
      </c>
      <c r="F39" s="718">
        <f>industrie!E22</f>
        <v>73.334415141928105</v>
      </c>
      <c r="G39" s="718">
        <f>industrie!F22</f>
        <v>292.3246611374397</v>
      </c>
      <c r="H39" s="718">
        <f>industrie!G22</f>
        <v>0</v>
      </c>
      <c r="I39" s="718">
        <f>industrie!H22</f>
        <v>0</v>
      </c>
      <c r="J39" s="718">
        <f>industrie!I22</f>
        <v>0</v>
      </c>
      <c r="K39" s="718">
        <f>industrie!J22</f>
        <v>1.6972108321498838E-2</v>
      </c>
      <c r="L39" s="718">
        <f>industrie!K22</f>
        <v>0</v>
      </c>
      <c r="M39" s="718">
        <f>industrie!L22</f>
        <v>0</v>
      </c>
      <c r="N39" s="718">
        <f>industrie!M22</f>
        <v>0</v>
      </c>
      <c r="O39" s="718">
        <f>industrie!N22</f>
        <v>0</v>
      </c>
      <c r="P39" s="718">
        <f>industrie!O22</f>
        <v>0</v>
      </c>
      <c r="Q39" s="828">
        <f>industrie!P22</f>
        <v>0</v>
      </c>
      <c r="R39" s="918">
        <f ca="1">SUM(C39:Q39)</f>
        <v>8414.7709943326299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14733.41069431329</v>
      </c>
      <c r="D41" s="763">
        <f t="shared" ref="D41:R41" ca="1" si="4">SUM(D35:D40)</f>
        <v>0</v>
      </c>
      <c r="E41" s="763">
        <f t="shared" ca="1" si="4"/>
        <v>14552.304674661602</v>
      </c>
      <c r="F41" s="763">
        <f t="shared" si="4"/>
        <v>400.28474231161891</v>
      </c>
      <c r="G41" s="763">
        <f t="shared" ca="1" si="4"/>
        <v>7700.3580531186708</v>
      </c>
      <c r="H41" s="763">
        <f t="shared" si="4"/>
        <v>0</v>
      </c>
      <c r="I41" s="763">
        <f t="shared" si="4"/>
        <v>0</v>
      </c>
      <c r="J41" s="763">
        <f t="shared" si="4"/>
        <v>0</v>
      </c>
      <c r="K41" s="763">
        <f t="shared" si="4"/>
        <v>27.493092214196697</v>
      </c>
      <c r="L41" s="763">
        <f t="shared" si="4"/>
        <v>0</v>
      </c>
      <c r="M41" s="763">
        <f t="shared" ca="1" si="4"/>
        <v>0</v>
      </c>
      <c r="N41" s="763">
        <f t="shared" si="4"/>
        <v>0</v>
      </c>
      <c r="O41" s="763">
        <f t="shared" ca="1" si="4"/>
        <v>0</v>
      </c>
      <c r="P41" s="763">
        <f t="shared" si="4"/>
        <v>0</v>
      </c>
      <c r="Q41" s="764">
        <f t="shared" si="4"/>
        <v>0</v>
      </c>
      <c r="R41" s="765">
        <f t="shared" ca="1" si="4"/>
        <v>37413.851256619368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154.89158553412764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154.89158553412764</v>
      </c>
    </row>
    <row r="45" spans="1:18" ht="15" thickBot="1">
      <c r="A45" s="888" t="s">
        <v>307</v>
      </c>
      <c r="B45" s="898"/>
      <c r="C45" s="727">
        <f ca="1">transport!B18</f>
        <v>7.8483407005046413</v>
      </c>
      <c r="D45" s="727">
        <f>transport!C18</f>
        <v>0</v>
      </c>
      <c r="E45" s="727">
        <f>transport!D18</f>
        <v>26.909358503762842</v>
      </c>
      <c r="F45" s="727">
        <f>transport!E18</f>
        <v>45.205379092196992</v>
      </c>
      <c r="G45" s="727">
        <f>transport!F18</f>
        <v>0</v>
      </c>
      <c r="H45" s="727">
        <f>transport!G18</f>
        <v>23748.152010971411</v>
      </c>
      <c r="I45" s="727">
        <f>transport!H18</f>
        <v>3827.1169977087006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27655.232086976575</v>
      </c>
    </row>
    <row r="46" spans="1:18" ht="15.75" thickBot="1">
      <c r="A46" s="886" t="s">
        <v>230</v>
      </c>
      <c r="B46" s="899"/>
      <c r="C46" s="763">
        <f t="shared" ref="C46:R46" ca="1" si="5">SUM(C43:C45)</f>
        <v>7.8483407005046413</v>
      </c>
      <c r="D46" s="763">
        <f t="shared" ca="1" si="5"/>
        <v>0</v>
      </c>
      <c r="E46" s="763">
        <f t="shared" si="5"/>
        <v>26.909358503762842</v>
      </c>
      <c r="F46" s="763">
        <f t="shared" si="5"/>
        <v>45.205379092196992</v>
      </c>
      <c r="G46" s="763">
        <f t="shared" si="5"/>
        <v>0</v>
      </c>
      <c r="H46" s="763">
        <f t="shared" si="5"/>
        <v>23903.04359650554</v>
      </c>
      <c r="I46" s="763">
        <f t="shared" si="5"/>
        <v>3827.1169977087006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27810.123672510705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43.405183514279628</v>
      </c>
      <c r="D48" s="718">
        <f ca="1">+landbouw!C12</f>
        <v>0</v>
      </c>
      <c r="E48" s="718">
        <f>+landbouw!D12</f>
        <v>0</v>
      </c>
      <c r="F48" s="718">
        <f>+landbouw!E12</f>
        <v>1.5037189736909458</v>
      </c>
      <c r="G48" s="718">
        <f>+landbouw!F12</f>
        <v>250.68075751905843</v>
      </c>
      <c r="H48" s="718">
        <f>+landbouw!G12</f>
        <v>0</v>
      </c>
      <c r="I48" s="718">
        <f>+landbouw!H12</f>
        <v>0</v>
      </c>
      <c r="J48" s="718">
        <f>+landbouw!I12</f>
        <v>0</v>
      </c>
      <c r="K48" s="718">
        <f>+landbouw!J12</f>
        <v>11.558550685842363</v>
      </c>
      <c r="L48" s="718">
        <f>+landbouw!K12</f>
        <v>0</v>
      </c>
      <c r="M48" s="718">
        <f>+landbouw!L12</f>
        <v>0</v>
      </c>
      <c r="N48" s="718">
        <f>+landbouw!M12</f>
        <v>0</v>
      </c>
      <c r="O48" s="718">
        <f>+landbouw!N12</f>
        <v>0</v>
      </c>
      <c r="P48" s="718">
        <f>+landbouw!O12</f>
        <v>0</v>
      </c>
      <c r="Q48" s="719">
        <f>+landbouw!P12</f>
        <v>0</v>
      </c>
      <c r="R48" s="761">
        <f ca="1">SUM(C48:Q48)</f>
        <v>307.14821069287137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14784.664218528074</v>
      </c>
      <c r="D53" s="773">
        <f t="shared" ref="D53:Q53" ca="1" si="6">D41+D46+D48</f>
        <v>0</v>
      </c>
      <c r="E53" s="773">
        <f t="shared" ca="1" si="6"/>
        <v>14579.214033165365</v>
      </c>
      <c r="F53" s="773">
        <f t="shared" si="6"/>
        <v>446.99384037750684</v>
      </c>
      <c r="G53" s="773">
        <f t="shared" ca="1" si="6"/>
        <v>7951.0388106377295</v>
      </c>
      <c r="H53" s="773">
        <f t="shared" si="6"/>
        <v>23903.04359650554</v>
      </c>
      <c r="I53" s="773">
        <f t="shared" si="6"/>
        <v>3827.1169977087006</v>
      </c>
      <c r="J53" s="773">
        <f t="shared" si="6"/>
        <v>0</v>
      </c>
      <c r="K53" s="773">
        <f t="shared" si="6"/>
        <v>39.051642900039056</v>
      </c>
      <c r="L53" s="773">
        <f t="shared" si="6"/>
        <v>0</v>
      </c>
      <c r="M53" s="773">
        <f t="shared" ca="1" si="6"/>
        <v>0</v>
      </c>
      <c r="N53" s="773">
        <f t="shared" si="6"/>
        <v>0</v>
      </c>
      <c r="O53" s="773">
        <f t="shared" ca="1" si="6"/>
        <v>0</v>
      </c>
      <c r="P53" s="773">
        <f>P41+P46+P48</f>
        <v>0</v>
      </c>
      <c r="Q53" s="774">
        <f t="shared" si="6"/>
        <v>0</v>
      </c>
      <c r="R53" s="775">
        <f ca="1">R41+R46+R48</f>
        <v>65531.123139822943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0.19259521459945705</v>
      </c>
      <c r="D55" s="836">
        <f t="shared" ca="1" si="7"/>
        <v>0</v>
      </c>
      <c r="E55" s="836">
        <f t="shared" ca="1" si="7"/>
        <v>0.20199999999999999</v>
      </c>
      <c r="F55" s="836">
        <f t="shared" si="7"/>
        <v>0.22700000000000001</v>
      </c>
      <c r="G55" s="836">
        <f t="shared" ca="1" si="7"/>
        <v>0.26700000000000007</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9866.5475288332673</v>
      </c>
      <c r="C66" s="795">
        <f>'lokale energieproductie'!B6</f>
        <v>9866.5475288332673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9866.5475288332673</v>
      </c>
      <c r="C69" s="803">
        <f>SUM(C64:C68)</f>
        <v>9866.5475288332673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19906.501349341248</v>
      </c>
      <c r="C4" s="478">
        <f>huishoudens!C8</f>
        <v>0</v>
      </c>
      <c r="D4" s="478">
        <f>huishoudens!D8</f>
        <v>47003.652238400005</v>
      </c>
      <c r="E4" s="478">
        <f>huishoudens!E8</f>
        <v>1267.7234563503309</v>
      </c>
      <c r="F4" s="478">
        <f>huishoudens!F8</f>
        <v>25002.907238354655</v>
      </c>
      <c r="G4" s="478">
        <f>huishoudens!G8</f>
        <v>0</v>
      </c>
      <c r="H4" s="478">
        <f>huishoudens!H8</f>
        <v>0</v>
      </c>
      <c r="I4" s="478">
        <f>huishoudens!I8</f>
        <v>0</v>
      </c>
      <c r="J4" s="478">
        <f>huishoudens!J8</f>
        <v>77.572719328592754</v>
      </c>
      <c r="K4" s="478">
        <f>huishoudens!K8</f>
        <v>0</v>
      </c>
      <c r="L4" s="478">
        <f>huishoudens!L8</f>
        <v>0</v>
      </c>
      <c r="M4" s="478">
        <f>huishoudens!M8</f>
        <v>0</v>
      </c>
      <c r="N4" s="478">
        <f>huishoudens!N8</f>
        <v>3510.2703340436956</v>
      </c>
      <c r="O4" s="478">
        <f>huishoudens!O8</f>
        <v>115.68666666666667</v>
      </c>
      <c r="P4" s="479">
        <f>huishoudens!P8</f>
        <v>19.066666666666666</v>
      </c>
      <c r="Q4" s="480">
        <f>SUM(B4:P4)</f>
        <v>96903.380669151855</v>
      </c>
    </row>
    <row r="5" spans="1:17">
      <c r="A5" s="477" t="s">
        <v>156</v>
      </c>
      <c r="B5" s="478">
        <f ca="1">tertiair!B16</f>
        <v>15778.35865</v>
      </c>
      <c r="C5" s="478">
        <f ca="1">tertiair!C16</f>
        <v>0</v>
      </c>
      <c r="D5" s="478">
        <f ca="1">tertiair!D16</f>
        <v>23589.218914800003</v>
      </c>
      <c r="E5" s="478">
        <f>tertiair!E16</f>
        <v>172.58635496989277</v>
      </c>
      <c r="F5" s="478">
        <f ca="1">tertiair!F16</f>
        <v>2742.5361773053833</v>
      </c>
      <c r="G5" s="478">
        <f>tertiair!G16</f>
        <v>0</v>
      </c>
      <c r="H5" s="478">
        <f>tertiair!H16</f>
        <v>0</v>
      </c>
      <c r="I5" s="478">
        <f>tertiair!I16</f>
        <v>0</v>
      </c>
      <c r="J5" s="478">
        <f>tertiair!J16</f>
        <v>4.3439162580126423E-2</v>
      </c>
      <c r="K5" s="478">
        <f>tertiair!K16</f>
        <v>0</v>
      </c>
      <c r="L5" s="478">
        <f ca="1">tertiair!L16</f>
        <v>0</v>
      </c>
      <c r="M5" s="478">
        <f>tertiair!M16</f>
        <v>0</v>
      </c>
      <c r="N5" s="478">
        <f ca="1">tertiair!N16</f>
        <v>1746.7317652632241</v>
      </c>
      <c r="O5" s="478">
        <f>tertiair!O16</f>
        <v>3.1266666666666669</v>
      </c>
      <c r="P5" s="479">
        <f>tertiair!P16</f>
        <v>0</v>
      </c>
      <c r="Q5" s="477">
        <f t="shared" ref="Q5:Q13" ca="1" si="0">SUM(B5:P5)</f>
        <v>44032.60196816775</v>
      </c>
    </row>
    <row r="6" spans="1:17">
      <c r="A6" s="477" t="s">
        <v>194</v>
      </c>
      <c r="B6" s="478">
        <f>'openbare verlichting'!B8</f>
        <v>540.65300000000002</v>
      </c>
      <c r="C6" s="478"/>
      <c r="D6" s="478"/>
      <c r="E6" s="478"/>
      <c r="F6" s="478"/>
      <c r="G6" s="478"/>
      <c r="H6" s="478"/>
      <c r="I6" s="478"/>
      <c r="J6" s="478"/>
      <c r="K6" s="478"/>
      <c r="L6" s="478"/>
      <c r="M6" s="478"/>
      <c r="N6" s="478"/>
      <c r="O6" s="478"/>
      <c r="P6" s="479"/>
      <c r="Q6" s="477">
        <f t="shared" si="0"/>
        <v>540.65300000000002</v>
      </c>
    </row>
    <row r="7" spans="1:17">
      <c r="A7" s="477" t="s">
        <v>112</v>
      </c>
      <c r="B7" s="478">
        <f>landbouw!B8</f>
        <v>225.37</v>
      </c>
      <c r="C7" s="478">
        <f>landbouw!C8</f>
        <v>0</v>
      </c>
      <c r="D7" s="478">
        <f>landbouw!D8</f>
        <v>0</v>
      </c>
      <c r="E7" s="478">
        <f>landbouw!E8</f>
        <v>6.624312659431479</v>
      </c>
      <c r="F7" s="478">
        <f>landbouw!F8</f>
        <v>938.87924164441358</v>
      </c>
      <c r="G7" s="478">
        <f>landbouw!G8</f>
        <v>0</v>
      </c>
      <c r="H7" s="478">
        <f>landbouw!H8</f>
        <v>0</v>
      </c>
      <c r="I7" s="478">
        <f>landbouw!I8</f>
        <v>0</v>
      </c>
      <c r="J7" s="478">
        <f>landbouw!J8</f>
        <v>32.651273123848483</v>
      </c>
      <c r="K7" s="478">
        <f>landbouw!K8</f>
        <v>0</v>
      </c>
      <c r="L7" s="478">
        <f>landbouw!L8</f>
        <v>0</v>
      </c>
      <c r="M7" s="478">
        <f>landbouw!M8</f>
        <v>0</v>
      </c>
      <c r="N7" s="478">
        <f>landbouw!N8</f>
        <v>0</v>
      </c>
      <c r="O7" s="478">
        <f>landbouw!O8</f>
        <v>0</v>
      </c>
      <c r="P7" s="479">
        <f>landbouw!P8</f>
        <v>0</v>
      </c>
      <c r="Q7" s="477">
        <f t="shared" si="0"/>
        <v>1203.5248274276937</v>
      </c>
    </row>
    <row r="8" spans="1:17">
      <c r="A8" s="477" t="s">
        <v>635</v>
      </c>
      <c r="B8" s="478">
        <f>industrie!B18</f>
        <v>40273.847199999997</v>
      </c>
      <c r="C8" s="478">
        <f>industrie!C18</f>
        <v>0</v>
      </c>
      <c r="D8" s="478">
        <f>industrie!D18</f>
        <v>1448.2410976000001</v>
      </c>
      <c r="E8" s="478">
        <f>industrie!E18</f>
        <v>323.0590975415335</v>
      </c>
      <c r="F8" s="478">
        <f>industrie!F18</f>
        <v>1094.8489181177517</v>
      </c>
      <c r="G8" s="478">
        <f>industrie!G18</f>
        <v>0</v>
      </c>
      <c r="H8" s="478">
        <f>industrie!H18</f>
        <v>0</v>
      </c>
      <c r="I8" s="478">
        <f>industrie!I18</f>
        <v>0</v>
      </c>
      <c r="J8" s="478">
        <f>industrie!J18</f>
        <v>4.7943808817793331E-2</v>
      </c>
      <c r="K8" s="478">
        <f>industrie!K18</f>
        <v>0</v>
      </c>
      <c r="L8" s="478">
        <f>industrie!L18</f>
        <v>0</v>
      </c>
      <c r="M8" s="478">
        <f>industrie!M18</f>
        <v>0</v>
      </c>
      <c r="N8" s="478">
        <f>industrie!N18</f>
        <v>1413.9284733645623</v>
      </c>
      <c r="O8" s="478">
        <f>industrie!O18</f>
        <v>0</v>
      </c>
      <c r="P8" s="479">
        <f>industrie!P18</f>
        <v>0</v>
      </c>
      <c r="Q8" s="477">
        <f t="shared" si="0"/>
        <v>44553.972730432659</v>
      </c>
    </row>
    <row r="9" spans="1:17" s="483" customFormat="1">
      <c r="A9" s="481" t="s">
        <v>561</v>
      </c>
      <c r="B9" s="482">
        <f>transport!B14</f>
        <v>40.750445003667124</v>
      </c>
      <c r="C9" s="482">
        <f>transport!C14</f>
        <v>0</v>
      </c>
      <c r="D9" s="482">
        <f>transport!D14</f>
        <v>133.21464605823189</v>
      </c>
      <c r="E9" s="482">
        <f>transport!E14</f>
        <v>199.14263917267397</v>
      </c>
      <c r="F9" s="482">
        <f>transport!F14</f>
        <v>0</v>
      </c>
      <c r="G9" s="482">
        <f>transport!G14</f>
        <v>88944.389554200039</v>
      </c>
      <c r="H9" s="482">
        <f>transport!H14</f>
        <v>15369.947781962654</v>
      </c>
      <c r="I9" s="482">
        <f>transport!I14</f>
        <v>0</v>
      </c>
      <c r="J9" s="482">
        <f>transport!J14</f>
        <v>0</v>
      </c>
      <c r="K9" s="482">
        <f>transport!K14</f>
        <v>0</v>
      </c>
      <c r="L9" s="482">
        <f>transport!L14</f>
        <v>0</v>
      </c>
      <c r="M9" s="482">
        <f>transport!M14</f>
        <v>5652.8399581302674</v>
      </c>
      <c r="N9" s="482">
        <f>transport!N14</f>
        <v>0</v>
      </c>
      <c r="O9" s="482">
        <f>transport!O14</f>
        <v>0</v>
      </c>
      <c r="P9" s="482">
        <f>transport!P14</f>
        <v>0</v>
      </c>
      <c r="Q9" s="481">
        <f>SUM(B9:P9)</f>
        <v>110340.28502452753</v>
      </c>
    </row>
    <row r="10" spans="1:17">
      <c r="A10" s="477" t="s">
        <v>551</v>
      </c>
      <c r="B10" s="478">
        <f>transport!B54</f>
        <v>0</v>
      </c>
      <c r="C10" s="478">
        <f>transport!C54</f>
        <v>0</v>
      </c>
      <c r="D10" s="478">
        <f>transport!D54</f>
        <v>0</v>
      </c>
      <c r="E10" s="478">
        <f>transport!E54</f>
        <v>0</v>
      </c>
      <c r="F10" s="478">
        <f>transport!F54</f>
        <v>0</v>
      </c>
      <c r="G10" s="478">
        <f>transport!G54</f>
        <v>580.11829788062789</v>
      </c>
      <c r="H10" s="478">
        <f>transport!H54</f>
        <v>0</v>
      </c>
      <c r="I10" s="478">
        <f>transport!I54</f>
        <v>0</v>
      </c>
      <c r="J10" s="478">
        <f>transport!J54</f>
        <v>0</v>
      </c>
      <c r="K10" s="478">
        <f>transport!K54</f>
        <v>0</v>
      </c>
      <c r="L10" s="478">
        <f>transport!L54</f>
        <v>0</v>
      </c>
      <c r="M10" s="478">
        <f>transport!M54</f>
        <v>32.94815834308158</v>
      </c>
      <c r="N10" s="478">
        <f>transport!N54</f>
        <v>0</v>
      </c>
      <c r="O10" s="478">
        <f>transport!O54</f>
        <v>0</v>
      </c>
      <c r="P10" s="479">
        <f>transport!P54</f>
        <v>0</v>
      </c>
      <c r="Q10" s="477">
        <f t="shared" si="0"/>
        <v>613.06645622370945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76765.48064434492</v>
      </c>
      <c r="C14" s="488">
        <f t="shared" ref="C14:Q14" ca="1" si="1">SUM(C4:C13)</f>
        <v>0</v>
      </c>
      <c r="D14" s="488">
        <f t="shared" ca="1" si="1"/>
        <v>72174.326896858242</v>
      </c>
      <c r="E14" s="488">
        <f t="shared" si="1"/>
        <v>1969.1358606938625</v>
      </c>
      <c r="F14" s="488">
        <f t="shared" ca="1" si="1"/>
        <v>29779.171575422202</v>
      </c>
      <c r="G14" s="488">
        <f t="shared" si="1"/>
        <v>89524.507852080671</v>
      </c>
      <c r="H14" s="488">
        <f t="shared" si="1"/>
        <v>15369.947781962654</v>
      </c>
      <c r="I14" s="488">
        <f t="shared" si="1"/>
        <v>0</v>
      </c>
      <c r="J14" s="488">
        <f t="shared" si="1"/>
        <v>110.31537542383916</v>
      </c>
      <c r="K14" s="488">
        <f t="shared" si="1"/>
        <v>0</v>
      </c>
      <c r="L14" s="488">
        <f t="shared" ca="1" si="1"/>
        <v>0</v>
      </c>
      <c r="M14" s="488">
        <f t="shared" si="1"/>
        <v>5685.788116473349</v>
      </c>
      <c r="N14" s="488">
        <f t="shared" ca="1" si="1"/>
        <v>6670.9305726714811</v>
      </c>
      <c r="O14" s="488">
        <f t="shared" si="1"/>
        <v>118.81333333333333</v>
      </c>
      <c r="P14" s="489">
        <f t="shared" si="1"/>
        <v>19.066666666666666</v>
      </c>
      <c r="Q14" s="489">
        <f t="shared" ca="1" si="1"/>
        <v>298187.48467593122</v>
      </c>
    </row>
    <row r="16" spans="1:17">
      <c r="A16" s="491" t="s">
        <v>556</v>
      </c>
      <c r="B16" s="841">
        <f ca="1">huishoudens!B10</f>
        <v>0.19259521459945703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3833.8968993007584</v>
      </c>
      <c r="C21" s="478">
        <f t="shared" ref="C21:C30" ca="1" si="3">C4*$C$16</f>
        <v>0</v>
      </c>
      <c r="D21" s="478">
        <f t="shared" ref="D21:D30" si="4">D4*$D$16</f>
        <v>9494.7377521568014</v>
      </c>
      <c r="E21" s="478">
        <f t="shared" ref="E21:E30" si="5">E4*$E$16</f>
        <v>287.77322459152515</v>
      </c>
      <c r="F21" s="478">
        <f t="shared" ref="F21:F30" si="6">F4*$F$16</f>
        <v>6675.7762326406937</v>
      </c>
      <c r="G21" s="478">
        <f t="shared" ref="G21:G30" si="7">G4*$G$16</f>
        <v>0</v>
      </c>
      <c r="H21" s="478">
        <f t="shared" ref="H21:H30" si="8">H4*$H$16</f>
        <v>0</v>
      </c>
      <c r="I21" s="478">
        <f t="shared" ref="I21:I30" si="9">I4*$I$16</f>
        <v>0</v>
      </c>
      <c r="J21" s="478">
        <f t="shared" ref="J21:J30" si="10">J4*$J$16</f>
        <v>27.460742642321833</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20319.644851332097</v>
      </c>
    </row>
    <row r="22" spans="1:17">
      <c r="A22" s="477" t="s">
        <v>156</v>
      </c>
      <c r="B22" s="478">
        <f t="shared" ca="1" si="2"/>
        <v>3038.836370223949</v>
      </c>
      <c r="C22" s="478">
        <f t="shared" ca="1" si="3"/>
        <v>0</v>
      </c>
      <c r="D22" s="478">
        <f t="shared" ca="1" si="4"/>
        <v>4765.0222207896013</v>
      </c>
      <c r="E22" s="478">
        <f t="shared" si="5"/>
        <v>39.177102578165659</v>
      </c>
      <c r="F22" s="478">
        <f t="shared" ca="1" si="6"/>
        <v>732.25715934053733</v>
      </c>
      <c r="G22" s="478">
        <f t="shared" si="7"/>
        <v>0</v>
      </c>
      <c r="H22" s="478">
        <f t="shared" si="8"/>
        <v>0</v>
      </c>
      <c r="I22" s="478">
        <f t="shared" si="9"/>
        <v>0</v>
      </c>
      <c r="J22" s="478">
        <f t="shared" si="10"/>
        <v>1.5377463553364753E-2</v>
      </c>
      <c r="K22" s="478">
        <f t="shared" si="11"/>
        <v>0</v>
      </c>
      <c r="L22" s="478">
        <f t="shared" ca="1" si="12"/>
        <v>0</v>
      </c>
      <c r="M22" s="478">
        <f t="shared" si="13"/>
        <v>0</v>
      </c>
      <c r="N22" s="478">
        <f t="shared" ca="1" si="14"/>
        <v>0</v>
      </c>
      <c r="O22" s="478">
        <f t="shared" si="15"/>
        <v>0</v>
      </c>
      <c r="P22" s="479">
        <f t="shared" si="16"/>
        <v>0</v>
      </c>
      <c r="Q22" s="477">
        <f t="shared" ref="Q22:Q30" ca="1" si="17">SUM(B22:P22)</f>
        <v>8575.3082303958054</v>
      </c>
    </row>
    <row r="23" spans="1:17">
      <c r="A23" s="477" t="s">
        <v>194</v>
      </c>
      <c r="B23" s="478">
        <f t="shared" ca="1" si="2"/>
        <v>104.12718055884024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104.12718055884024</v>
      </c>
    </row>
    <row r="24" spans="1:17">
      <c r="A24" s="477" t="s">
        <v>112</v>
      </c>
      <c r="B24" s="478">
        <f t="shared" ca="1" si="2"/>
        <v>43.405183514279628</v>
      </c>
      <c r="C24" s="478">
        <f t="shared" ca="1" si="3"/>
        <v>0</v>
      </c>
      <c r="D24" s="478">
        <f t="shared" si="4"/>
        <v>0</v>
      </c>
      <c r="E24" s="478">
        <f t="shared" si="5"/>
        <v>1.5037189736909458</v>
      </c>
      <c r="F24" s="478">
        <f t="shared" si="6"/>
        <v>250.68075751905843</v>
      </c>
      <c r="G24" s="478">
        <f t="shared" si="7"/>
        <v>0</v>
      </c>
      <c r="H24" s="478">
        <f t="shared" si="8"/>
        <v>0</v>
      </c>
      <c r="I24" s="478">
        <f t="shared" si="9"/>
        <v>0</v>
      </c>
      <c r="J24" s="478">
        <f t="shared" si="10"/>
        <v>11.558550685842363</v>
      </c>
      <c r="K24" s="478">
        <f t="shared" si="11"/>
        <v>0</v>
      </c>
      <c r="L24" s="478">
        <f t="shared" si="12"/>
        <v>0</v>
      </c>
      <c r="M24" s="478">
        <f t="shared" si="13"/>
        <v>0</v>
      </c>
      <c r="N24" s="478">
        <f t="shared" si="14"/>
        <v>0</v>
      </c>
      <c r="O24" s="478">
        <f t="shared" si="15"/>
        <v>0</v>
      </c>
      <c r="P24" s="479">
        <f t="shared" si="16"/>
        <v>0</v>
      </c>
      <c r="Q24" s="477">
        <f t="shared" ca="1" si="17"/>
        <v>307.14821069287137</v>
      </c>
    </row>
    <row r="25" spans="1:17">
      <c r="A25" s="477" t="s">
        <v>635</v>
      </c>
      <c r="B25" s="478">
        <f t="shared" ca="1" si="2"/>
        <v>7756.5502442297411</v>
      </c>
      <c r="C25" s="478">
        <f t="shared" ca="1" si="3"/>
        <v>0</v>
      </c>
      <c r="D25" s="478">
        <f t="shared" si="4"/>
        <v>292.54470171520006</v>
      </c>
      <c r="E25" s="478">
        <f t="shared" si="5"/>
        <v>73.334415141928105</v>
      </c>
      <c r="F25" s="478">
        <f t="shared" si="6"/>
        <v>292.3246611374397</v>
      </c>
      <c r="G25" s="478">
        <f t="shared" si="7"/>
        <v>0</v>
      </c>
      <c r="H25" s="478">
        <f t="shared" si="8"/>
        <v>0</v>
      </c>
      <c r="I25" s="478">
        <f t="shared" si="9"/>
        <v>0</v>
      </c>
      <c r="J25" s="478">
        <f t="shared" si="10"/>
        <v>1.6972108321498838E-2</v>
      </c>
      <c r="K25" s="478">
        <f t="shared" si="11"/>
        <v>0</v>
      </c>
      <c r="L25" s="478">
        <f t="shared" si="12"/>
        <v>0</v>
      </c>
      <c r="M25" s="478">
        <f t="shared" si="13"/>
        <v>0</v>
      </c>
      <c r="N25" s="478">
        <f t="shared" si="14"/>
        <v>0</v>
      </c>
      <c r="O25" s="478">
        <f t="shared" si="15"/>
        <v>0</v>
      </c>
      <c r="P25" s="479">
        <f t="shared" si="16"/>
        <v>0</v>
      </c>
      <c r="Q25" s="477">
        <f t="shared" ca="1" si="17"/>
        <v>8414.7709943326299</v>
      </c>
    </row>
    <row r="26" spans="1:17" s="483" customFormat="1">
      <c r="A26" s="481" t="s">
        <v>561</v>
      </c>
      <c r="B26" s="835">
        <f t="shared" ca="1" si="2"/>
        <v>7.8483407005046413</v>
      </c>
      <c r="C26" s="482">
        <f t="shared" ca="1" si="3"/>
        <v>0</v>
      </c>
      <c r="D26" s="482">
        <f t="shared" si="4"/>
        <v>26.909358503762842</v>
      </c>
      <c r="E26" s="482">
        <f t="shared" si="5"/>
        <v>45.205379092196992</v>
      </c>
      <c r="F26" s="482">
        <f t="shared" si="6"/>
        <v>0</v>
      </c>
      <c r="G26" s="482">
        <f t="shared" si="7"/>
        <v>23748.152010971411</v>
      </c>
      <c r="H26" s="482">
        <f t="shared" si="8"/>
        <v>3827.1169977087006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27655.232086976575</v>
      </c>
    </row>
    <row r="27" spans="1:17">
      <c r="A27" s="477" t="s">
        <v>551</v>
      </c>
      <c r="B27" s="478">
        <f t="shared" ca="1" si="2"/>
        <v>0</v>
      </c>
      <c r="C27" s="478">
        <f t="shared" ca="1" si="3"/>
        <v>0</v>
      </c>
      <c r="D27" s="478">
        <f t="shared" si="4"/>
        <v>0</v>
      </c>
      <c r="E27" s="478">
        <f t="shared" si="5"/>
        <v>0</v>
      </c>
      <c r="F27" s="478">
        <f t="shared" si="6"/>
        <v>0</v>
      </c>
      <c r="G27" s="478">
        <f t="shared" si="7"/>
        <v>154.89158553412764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154.89158553412764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14784.664218528073</v>
      </c>
      <c r="C31" s="488">
        <f t="shared" ca="1" si="18"/>
        <v>0</v>
      </c>
      <c r="D31" s="488">
        <f t="shared" ca="1" si="18"/>
        <v>14579.214033165365</v>
      </c>
      <c r="E31" s="488">
        <f t="shared" si="18"/>
        <v>446.99384037750684</v>
      </c>
      <c r="F31" s="488">
        <f t="shared" ca="1" si="18"/>
        <v>7951.0388106377295</v>
      </c>
      <c r="G31" s="488">
        <f t="shared" si="18"/>
        <v>23903.04359650554</v>
      </c>
      <c r="H31" s="488">
        <f t="shared" si="18"/>
        <v>3827.1169977087006</v>
      </c>
      <c r="I31" s="488">
        <f t="shared" si="18"/>
        <v>0</v>
      </c>
      <c r="J31" s="488">
        <f t="shared" si="18"/>
        <v>39.051642900039056</v>
      </c>
      <c r="K31" s="488">
        <f t="shared" si="18"/>
        <v>0</v>
      </c>
      <c r="L31" s="488">
        <f t="shared" ca="1" si="18"/>
        <v>0</v>
      </c>
      <c r="M31" s="488">
        <f t="shared" si="18"/>
        <v>0</v>
      </c>
      <c r="N31" s="488">
        <f t="shared" ca="1" si="18"/>
        <v>0</v>
      </c>
      <c r="O31" s="488">
        <f t="shared" si="18"/>
        <v>0</v>
      </c>
      <c r="P31" s="489">
        <f t="shared" si="18"/>
        <v>0</v>
      </c>
      <c r="Q31" s="489">
        <f t="shared" ca="1" si="18"/>
        <v>65531.123139822943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0.19259521459945703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0.19259521459945703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0.19259521459945703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2018-09-06T12:48:32Z</dcterms:modified>
</cp:coreProperties>
</file>