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<sst xmlns="http://schemas.openxmlformats.org/spreadsheetml/2006/main" count="1914" uniqueCount="809">
  <si>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</si>
  <si>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</si>
  <si>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</si>
  <si>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</si>
  <si>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</si>
  <si>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</si>
  <si>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</si>
  <si>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</si>
  <si>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</si>
  <si>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</si>
  <si>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</si>
  <si>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</si>
  <si>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</si>
  <si>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</si>
  <si>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</si>
  <si>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</si>
  <si>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</si>
  <si>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</si>
  <si>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</si>
  <si>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</si>
  <si>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</si>
  <si>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</si>
  <si>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</si>
  <si>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</si>
  <si>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</si>
  <si>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</si>
  <si>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</si>
  <si>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</si>
  <si>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</si>
  <si>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</si>
  <si>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</si>
  <si>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</si>
  <si>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</si>
  <si>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</si>
  <si>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</si>
  <si>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</si>
  <si>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</si>
  <si>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</si>
  <si>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</si>
  <si>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</si>
  <si>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</si>
  <si>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</si>
  <si>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</si>
  <si>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</si>
  <si>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</si>
  <si>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</si>
  <si>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</si>
  <si>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</si>
  <si>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</si>
  <si>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</si>
  <si>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</si>
  <si>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</si>
  <si>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</si>
  <si>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</si>
  <si>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</si>
  <si>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</si>
  <si>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</si>
  <si>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</si>
  <si>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</si>
  <si>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</si>
  <si>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</si>
  <si>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</si>
  <si>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</si>
  <si>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</si>
  <si>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</si>
  <si>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</si>
  <si>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</si>
  <si>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</si>
  <si>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</si>
  <si>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</si>
  <si>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</si>
  <si>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</si>
  <si>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</si>
  <si>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</si>
  <si>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</si>
  <si>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</si>
  <si>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</si>
  <si>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</si>
  <si>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</si>
  <si>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</si>
  <si>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</si>
  <si>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</si>
  <si>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</si>
  <si>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</si>
  <si>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</si>
  <si>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</si>
  <si>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</si>
  <si>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</si>
  <si>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</si>
  <si>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</si>
  <si>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</si>
  <si>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</si>
  <si>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</si>
  <si>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</si>
  <si>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</si>
  <si>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</si>
  <si>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</si>
  <si>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</si>
  <si>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</si>
  <si>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</si>
  <si>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</si>
  <si>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</si>
  <si>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</si>
  <si>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</si>
  <si>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</si>
  <si>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</si>
  <si>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</si>
  <si>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</si>
  <si>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</si>
  <si>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</si>
  <si>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</si>
  <si>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</si>
  <si>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</si>
  <si>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</si>
  <si>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</si>
  <si>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</si>
  <si>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</si>
  <si>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</si>
  <si>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</si>
  <si>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</si>
  <si>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</si>
  <si>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</si>
  <si>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</si>
  <si>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</si>
  <si>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</si>
  <si>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</si>
  <si>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</si>
  <si>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</si>
  <si>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</si>
  <si>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</si>
  <si>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</si>
  <si>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</si>
  <si>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</si>
  <si>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</si>
  <si>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</si>
  <si>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</si>
  <si>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</si>
  <si>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</si>
  <si>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</si>
  <si>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</si>
  <si>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</si>
  <si>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</si>
  <si>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</si>
  <si>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</si>
  <si>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</si>
  <si>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</si>
  <si>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</si>
  <si>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</si>
  <si>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</si>
  <si>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</si>
  <si>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</si>
  <si>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</si>
  <si>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</si>
  <si>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</si>
  <si>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</si>
  <si>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</si>
  <si>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</si>
  <si>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</si>
  <si>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</si>
  <si>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</si>
  <si>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</si>
  <si>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</si>
  <si>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</si>
  <si>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</si>
  <si>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</si>
  <si>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</si>
  <si>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</si>
  <si>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</si>
  <si>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</si>
  <si>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</si>
  <si>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</si>
  <si>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</si>
  <si>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</si>
  <si>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</si>
  <si>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</si>
  <si>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</si>
  <si>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</si>
  <si>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</si>
  <si>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</si>
  <si>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</si>
  <si>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</si>
  <si>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</si>
  <si>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</si>
  <si>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</si>
  <si>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</si>
  <si>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</si>
  <si>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</si>
  <si>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</si>
  <si>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</si>
  <si>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</si>
  <si>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</si>
  <si>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</si>
  <si>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</si>
  <si>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</si>
  <si>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</si>
  <si>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</si>
  <si>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</si>
  <si>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</si>
  <si>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</si>
  <si>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</si>
  <si>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</si>
  <si>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</si>
  <si>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</si>
  <si>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</si>
  <si>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</si>
  <si>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</si>
  <si>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</si>
  <si>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</si>
  <si>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</si>
  <si>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</si>
  <si>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</si>
  <si>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</si>
  <si>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</si>
  <si>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</si>
  <si>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</si>
  <si>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</si>
  <si>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</si>
  <si>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</si>
  <si>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</si>
  <si>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</si>
  <si>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</si>
  <si>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</si>
  <si>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</si>
  <si>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</si>
  <si>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</si>
  <si>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</si>
  <si>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</si>
  <si>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</si>
  <si>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</si>
  <si>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</si>
  <si>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</si>
  <si>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</si>
  <si>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</si>
  <si>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</si>
  <si>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</si>
  <si>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</si>
  <si>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</si>
  <si>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</si>
  <si>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</si>
  <si>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</si>
  <si>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</si>
  <si>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</si>
  <si>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</si>
  <si>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</si>
  <si>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</si>
  <si>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</si>
  <si>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</si>
  <si>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</si>
  <si>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</si>
  <si>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</si>
  <si>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</si>
  <si>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</si>
  <si>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</si>
  <si>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</si>
  <si>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</si>
  <si>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</si>
  <si>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</si>
  <si>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</si>
  <si>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</si>
  <si>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</si>
  <si>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</si>
  <si>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</si>
  <si>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</si>
  <si>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</si>
  <si>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</si>
  <si>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</si>
  <si>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</si>
  <si>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</si>
  <si>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</si>
  <si>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</si>
  <si>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</si>
  <si>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</si>
  <si>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</si>
  <si>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</si>
  <si>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</si>
  <si>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</si>
  <si>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</si>
  <si>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</si>
  <si>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</si>
  <si>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</si>
  <si>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</si>
  <si>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</si>
  <si>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</si>
  <si>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</si>
  <si>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</si>
  <si>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</si>
  <si>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</si>
  <si>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</si>
  <si>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</si>
  <si>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</si>
  <si>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</si>
  <si>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</si>
  <si>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</si>
  <si>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</si>
  <si>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</si>
  <si>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</si>
  <si>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</si>
  <si>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</si>
  <si>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</si>
  <si>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</si>
  <si>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</si>
  <si>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</si>
  <si>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</si>
  <si>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</si>
  <si>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</si>
  <si>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</si>
  <si>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</si>
  <si>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</si>
  <si>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</si>
  <si>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</si>
  <si>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</si>
  <si>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</si>
  <si>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</si>
  <si>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</si>
  <si>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</si>
  <si>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</si>
  <si>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</si>
  <si>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</si>
  <si>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</si>
  <si>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</si>
  <si>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</si>
  <si>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</si>
  <si>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</si>
  <si>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</si>
  <si>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</si>
  <si>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</si>
  <si>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</si>
  <si>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</si>
  <si>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</si>
  <si>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</si>
  <si>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</si>
  <si>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</si>
  <si>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</si>
  <si>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</si>
  <si>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</si>
  <si>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</si>
  <si>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</si>
  <si>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</si>
  <si>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</si>
  <si>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</si>
  <si>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</si>
  <si>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</si>
  <si>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</si>
  <si>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</si>
  <si>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</si>
  <si>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</si>
  <si>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</si>
  <si>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</si>
  <si>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</si>
  <si>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</si>
  <si>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</si>
  <si>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</si>
  <si>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</si>
  <si>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</si>
  <si>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</si>
  <si>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</si>
  <si>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</si>
  <si>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</si>
  <si>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</si>
  <si>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</si>
  <si>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</si>
  <si>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</si>
  <si>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</si>
  <si>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</si>
  <si>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</si>
  <si>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</si>
  <si>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</si>
  <si>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</si>
  <si>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</si>
  <si>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</si>
  <si>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</si>
  <si>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</si>
  <si>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</si>
  <si>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</si>
  <si>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</si>
  <si>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</si>
  <si>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</si>
  <si>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</si>
  <si>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</si>
  <si>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</si>
  <si>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</si>
  <si>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</si>
  <si>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</si>
  <si>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</si>
  <si>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</si>
  <si>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</si>
  <si>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</si>
  <si>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</si>
  <si>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</si>
  <si>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</si>
  <si>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</si>
  <si>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</si>
  <si>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</si>
  <si>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</si>
  <si>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</si>
  <si>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</si>
  <si>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</si>
  <si>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</si>
  <si>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</si>
  <si>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</si>
  <si>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</si>
  <si>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</si>
  <si>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</si>
  <si>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</si>
  <si>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</si>
  <si>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</si>
  <si>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</si>
  <si>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</si>
  <si>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</si>
  <si>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</si>
  <si>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</si>
  <si>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</si>
  <si>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</si>
  <si>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</si>
  <si>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</si>
  <si>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</si>
  <si>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</si>
  <si>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</si>
  <si>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</si>
  <si>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</si>
  <si>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</si>
  <si>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</si>
  <si>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</si>
  <si>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</si>
  <si>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</si>
  <si>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</si>
  <si>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</si>
  <si>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</si>
  <si>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</si>
  <si>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</si>
  <si>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</si>
  <si>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</si>
  <si>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</si>
  <si>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</si>
  <si>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</si>
  <si>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</si>
  <si>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</si>
  <si>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</si>
  <si>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</si>
  <si>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</si>
  <si>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</si>
  <si>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</si>
  <si>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</si>
  <si>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</si>
  <si>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</si>
  <si>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</si>
  <si>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</si>
  <si>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</si>
  <si>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</si>
  <si>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</si>
  <si>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</si>
  <si>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</si>
  <si>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</si>
  <si>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</si>
  <si>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</si>
  <si>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</si>
  <si>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</si>
  <si>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</si>
  <si>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</si>
  <si>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</si>
  <si>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</si>
  <si>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</si>
  <si>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</si>
  <si>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</si>
  <si>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</si>
  <si>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</si>
  <si>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</si>
  <si>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</si>
  <si>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</si>
  <si>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</si>
  <si>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</si>
  <si>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</si>
  <si>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</si>
  <si>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</si>
  <si>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</si>
  <si>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</si>
  <si>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</si>
  <si>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</si>
  <si>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</si>
  <si>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</si>
  <si>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</si>
  <si>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</si>
  <si>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</si>
  <si>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</si>
  <si>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</si>
  <si>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</si>
  <si>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</si>
  <si>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</si>
  <si>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</si>
  <si>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</si>
  <si>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</si>
  <si>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</si>
  <si>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</si>
  <si>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</si>
  <si>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</si>
  <si>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</si>
  <si>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</si>
  <si>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</si>
  <si>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</si>
  <si>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</si>
  <si>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</si>
  <si>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</si>
  <si>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</si>
  <si>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</si>
  <si>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</si>
  <si>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</si>
  <si>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</si>
  <si>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</si>
  <si>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</si>
  <si>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</si>
  <si>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</si>
  <si>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</si>
  <si>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</si>
  <si>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</si>
  <si>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</si>
  <si>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</si>
  <si>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</si>
  <si>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</si>
  <si>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</si>
  <si>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</si>
  <si>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</si>
  <si>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</si>
  <si>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</si>
  <si>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</si>
  <si>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</si>
  <si>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</si>
  <si>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</si>
  <si>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</si>
  <si>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</si>
  <si>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</si>
  <si>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</si>
  <si>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</si>
  <si>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</si>
  <si>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</si>
  <si>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</si>
  <si>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</si>
  <si>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</si>
  <si>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</si>
  <si>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</si>
  <si>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</si>
  <si>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</si>
  <si>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</si>
  <si>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</si>
  <si>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</si>
  <si>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</si>
  <si>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</si>
  <si>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</si>
  <si>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</si>
  <si>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</si>
  <si>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</si>
  <si>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</si>
  <si>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</si>
  <si>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</si>
  <si>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</si>
  <si>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</si>
  <si>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</si>
  <si>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</si>
  <si>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</si>
  <si>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</si>
  <si>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</si>
  <si>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</si>
  <si>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</si>
  <si>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</si>
  <si>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</si>
  <si>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</si>
  <si>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</si>
  <si>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</si>
  <si>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</si>
  <si>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</si>
  <si>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</si>
  <si>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</si>
  <si>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</si>
  <si>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</si>
  <si>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</si>
  <si>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</si>
  <si>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</si>
  <si>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</si>
  <si>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</si>
  <si>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</si>
  <si>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</si>
  <si>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</si>
  <si>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</si>
  <si>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</si>
  <si>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</si>
  <si>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</si>
  <si>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</si>
  <si>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</si>
  <si>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</si>
  <si>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</si>
  <si>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</si>
  <si>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</si>
  <si>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</si>
  <si>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</si>
  <si>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</si>
  <si>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</si>
  <si>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</si>
  <si>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</si>
  <si>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</si>
  <si>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</si>
  <si>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</si>
  <si>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</si>
  <si>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</si>
  <si>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</si>
  <si>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</si>
  <si>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</si>
  <si>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</si>
  <si>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</si>
  <si>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</si>
  <si>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</si>
  <si>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</si>
  <si>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</si>
  <si>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</si>
  <si>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</si>
  <si>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</si>
  <si>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</si>
  <si>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</si>
  <si>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</si>
  <si>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</si>
  <si>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</si>
  <si>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</si>
  <si>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</si>
  <si>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</si>
  <si>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</si>
  <si>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</si>
  <si>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</si>
  <si>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</si>
  <si>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</si>
  <si>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</si>
  <si>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</si>
  <si>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</si>
  <si>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</si>
  <si>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</si>
  <si>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</si>
  <si>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</si>
  <si>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</si>
  <si>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</si>
  <si>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</si>
  <si>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</si>
  <si>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</si>
  <si>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</si>
  <si>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</si>
  <si>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</si>
  <si>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</si>
  <si>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</si>
  <si>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</si>
  <si>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</si>
  <si>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</si>
  <si>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</si>
  <si>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</si>
  <si>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</si>
  <si>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</si>
  <si>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</si>
  <si>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</si>
  <si>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</si>
  <si>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</si>
  <si>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</si>
  <si>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</si>
  <si>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</si>
  <si>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</si>
  <si>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</si>
  <si>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</si>
  <si>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</si>
  <si>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</si>
  <si>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</si>
  <si>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</si>
  <si>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</si>
  <si>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</si>
  <si>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</si>
  <si>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</si>
  <si>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</si>
  <si>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</si>
  <si>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</si>
  <si>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</si>
  <si>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</si>
  <si>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</si>
  <si>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</si>
  <si>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</si>
  <si>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</si>
  <si>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</si>
  <si>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</si>
  <si>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</si>
  <si>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</si>
  <si>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</si>
  <si>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</si>
  <si>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</si>
  <si>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</si>
  <si>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</si>
  <si>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</si>
  <si>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</si>
  <si>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</si>
  <si>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</si>
  <si>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</si>
  <si>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</si>
  <si>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</si>
  <si>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</si>
  <si>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</si>
  <si>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</si>
  <si>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</si>
  <si>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</si>
  <si>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</si>
  <si>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</si>
  <si>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</si>
  <si>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</si>
  <si>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</si>
  <si>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</si>
  <si>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</si>
  <si>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</si>
  <si>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</si>
  <si>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</si>
  <si>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</si>
  <si>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</si>
  <si>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</si>
  <si>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</si>
  <si>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</si>
  <si>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</si>
  <si>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</si>
  <si>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</si>
  <si>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</si>
  <si>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</si>
  <si>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</si>
  <si>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</si>
  <si>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</si>
  <si>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</si>
  <si>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</si>
  <si>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</si>
  <si>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</si>
  <si>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</si>
  <si>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</si>
  <si>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</si>
  <si>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</si>
  <si>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</si>
  <si>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</si>
  <si>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</si>
  <si>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</si>
  <si>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</si>
  <si>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</si>
  <si>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</si>
  <si>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</si>
  <si>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</si>
  <si>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</si>
  <si>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</si>
  <si>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</si>
  <si>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</si>
  <si>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</si>
  <si>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</si>
  <si>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</si>
  <si>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</si>
  <si>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</si>
  <si>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</si>
  <si>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</si>
  <si>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</si>
  <si>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</si>
  <si>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</si>
  <si>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</si>
  <si>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</si>
  <si>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</si>
  <si>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</si>
  <si>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</si>
  <si>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</si>
  <si>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</si>
  <si>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</si>
  <si>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</si>
  <si>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</si>
  <si>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</si>
  <si>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</si>
  <si>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</si>
  <si>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</si>
  <si>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</si>
  <si>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</si>
  <si>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</si>
  <si>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</si>
  <si>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</si>
  <si>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</si>
  <si>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</si>
  <si>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</si>
  <si>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</si>
  <si>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</si>
  <si>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</si>
  <si>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</si>
  <si>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</si>
  <si>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</si>
  <si>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</si>
  <si>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</si>
  <si>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</si>
  <si>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</si>
  <si>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</si>
  <si>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</si>
  <si>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</si>
  <si>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</si>
  <si>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</si>
  <si>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</si>
  <si>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</si>
  <si>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</si>
  <si>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</si>
  <si>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</si>
  <si>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</si>
  <si>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</si>
  <si>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</si>
  <si>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</si>
  <si>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</si>
  <si>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</si>
  <si>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43014</t>
  </si>
  <si>
    <t>SINT-LAUREINS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</si>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</sst>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64050.707610194033</c:v>
                </c:pt>
                <c:pt idx="1">
                  <c:v>13786.423973277604</c:v>
                </c:pt>
                <c:pt idx="2">
                  <c:v>682.61099999999999</c:v>
                </c:pt>
                <c:pt idx="3">
                  <c:v>27775.979292336484</c:v>
                </c:pt>
                <c:pt idx="4">
                  <c:v>3445.3248888939665</c:v>
                </c:pt>
                <c:pt idx="5">
                  <c:v>45132.390431489337</c:v>
                </c:pt>
                <c:pt idx="6">
                  <c:v>219.89943799521035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1984"/>
        <c:axId val="182080640"/>
      </c:barChart>
      <c:catAx>
        <c:axId val="182041984"/>
        <c:scaling>
          <c:orientation val="minMax"/>
        </c:scaling>
        <c:axPos val="b"/>
        <c:numFmt formatCode="General" sourceLinked="0"/>
        <c:tickLblPos val="nextTo"/>
        <c:crossAx val="182080640"/>
        <c:crosses val="autoZero"/>
        <c:auto val="1"/>
        <c:lblAlgn val="ctr"/>
        <c:lblOffset val="100"/>
      </c:catAx>
      <c:valAx>
        <c:axId val="182080640"/>
        <c:scaling>
          <c:orientation val="minMax"/>
        </c:scaling>
        <c:axPos val="l"/>
        <c:majorGridlines/>
        <c:numFmt formatCode="#,##0" sourceLinked="1"/>
        <c:tickLblPos val="nextTo"/>
        <c:crossAx val="182041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64050.707610194033</c:v>
                </c:pt>
                <c:pt idx="1">
                  <c:v>13786.423973277604</c:v>
                </c:pt>
                <c:pt idx="2">
                  <c:v>682.61099999999999</c:v>
                </c:pt>
                <c:pt idx="3">
                  <c:v>27775.979292336484</c:v>
                </c:pt>
                <c:pt idx="4">
                  <c:v>3445.3248888939665</c:v>
                </c:pt>
                <c:pt idx="5">
                  <c:v>45132.390431489337</c:v>
                </c:pt>
                <c:pt idx="6">
                  <c:v>219.89943799521035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12459.946005025693</c:v>
                </c:pt>
                <c:pt idx="1">
                  <c:v>2686.3918751141559</c:v>
                </c:pt>
                <c:pt idx="2">
                  <c:v>136.03531598399144</c:v>
                </c:pt>
                <c:pt idx="3">
                  <c:v>7083.1341710832539</c:v>
                </c:pt>
                <c:pt idx="4">
                  <c:v>650.27645853398815</c:v>
                </c:pt>
                <c:pt idx="5">
                  <c:v>11301.500498618743</c:v>
                </c:pt>
                <c:pt idx="6">
                  <c:v>55.55771688919959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06080"/>
        <c:axId val="182669312"/>
      </c:barChart>
      <c:catAx>
        <c:axId val="182606080"/>
        <c:scaling>
          <c:orientation val="minMax"/>
        </c:scaling>
        <c:axPos val="b"/>
        <c:numFmt formatCode="General" sourceLinked="0"/>
        <c:tickLblPos val="nextTo"/>
        <c:crossAx val="182669312"/>
        <c:crosses val="autoZero"/>
        <c:auto val="1"/>
        <c:lblAlgn val="ctr"/>
        <c:lblOffset val="100"/>
      </c:catAx>
      <c:valAx>
        <c:axId val="182669312"/>
        <c:scaling>
          <c:orientation val="minMax"/>
        </c:scaling>
        <c:axPos val="l"/>
        <c:majorGridlines/>
        <c:numFmt formatCode="#,##0" sourceLinked="1"/>
        <c:tickLblPos val="nextTo"/>
        <c:crossAx val="1826060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12459.946005025693</c:v>
                </c:pt>
                <c:pt idx="1">
                  <c:v>2686.3918751141559</c:v>
                </c:pt>
                <c:pt idx="2">
                  <c:v>136.03531598399144</c:v>
                </c:pt>
                <c:pt idx="3">
                  <c:v>7083.1341710832539</c:v>
                </c:pt>
                <c:pt idx="4">
                  <c:v>650.27645853398815</c:v>
                </c:pt>
                <c:pt idx="5">
                  <c:v>11301.500498618743</c:v>
                </c:pt>
                <c:pt idx="6">
                  <c:v>55.55771688919959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43014</v>
      </c>
      <c r="B6" s="415"/>
      <c r="C6" s="416"/>
    </row>
    <row r="7" spans="1:7" s="413" customFormat="1" ht="15.75" customHeight="1">
      <c r="A7" s="417" t="str">
        <f>txtMunicipality</f>
        <v>SINT-LAUREINS</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5702.9773992951532</v>
      </c>
      <c r="D10" s="718">
        <f ca="1">tertiair!C16</f>
        <v>0</v>
      </c>
      <c r="E10" s="718">
        <f ca="1">tertiair!D16</f>
        <v>7156.028072907352</v>
      </c>
      <c r="F10" s="718">
        <f>tertiair!E16</f>
        <v>63.557909795782962</v>
      </c>
      <c r="G10" s="718">
        <f ca="1">tertiair!F16</f>
        <v>846.24805998970533</v>
      </c>
      <c r="H10" s="718">
        <f>tertiair!G16</f>
        <v>0</v>
      </c>
      <c r="I10" s="718">
        <f>tertiair!H16</f>
        <v>0</v>
      </c>
      <c r="J10" s="718">
        <f>tertiair!I16</f>
        <v>0</v>
      </c>
      <c r="K10" s="718">
        <f>tertiair!J16</f>
        <v>1.6693558380994941E-2</v>
      </c>
      <c r="L10" s="718">
        <f>tertiair!K16</f>
        <v>0</v>
      </c>
      <c r="M10" s="718">
        <f ca="1">tertiair!L16</f>
        <v>0</v>
      </c>
      <c r="N10" s="718">
        <f>tertiair!M16</f>
        <v>0</v>
      </c>
      <c r="O10" s="718">
        <f ca="1">tertiair!N16</f>
        <v>658.94683773123143</v>
      </c>
      <c r="P10" s="718">
        <f>tertiair!O16</f>
        <v>3.1266666666666669</v>
      </c>
      <c r="Q10" s="719">
        <f>tertiair!P16</f>
        <v>38.133333333333333</v>
      </c>
      <c r="R10" s="721">
        <f ca="1">SUM(C10:Q10)</f>
        <v>14469.034973277605</v>
      </c>
      <c r="S10" s="67"/>
    </row>
    <row r="11" spans="1:19" s="474" customFormat="1">
      <c r="A11" s="870" t="s">
        <v>225</v>
      </c>
      <c r="B11" s="875"/>
      <c r="C11" s="718">
        <f>huishoudens!B8</f>
        <v>13515.843361124673</v>
      </c>
      <c r="D11" s="718">
        <f>huishoudens!C8</f>
        <v>0</v>
      </c>
      <c r="E11" s="718">
        <f>huishoudens!D8</f>
        <v>20895.665126710723</v>
      </c>
      <c r="F11" s="718">
        <f>huishoudens!E8</f>
        <v>7298.2393060429058</v>
      </c>
      <c r="G11" s="718">
        <f>huishoudens!F8</f>
        <v>10062.777017548617</v>
      </c>
      <c r="H11" s="718">
        <f>huishoudens!G8</f>
        <v>0</v>
      </c>
      <c r="I11" s="718">
        <f>huishoudens!H8</f>
        <v>0</v>
      </c>
      <c r="J11" s="718">
        <f>huishoudens!I8</f>
        <v>0</v>
      </c>
      <c r="K11" s="718">
        <f>huishoudens!J8</f>
        <v>3395.5694869743279</v>
      </c>
      <c r="L11" s="718">
        <f>huishoudens!K8</f>
        <v>0</v>
      </c>
      <c r="M11" s="718">
        <f>huishoudens!L8</f>
        <v>0</v>
      </c>
      <c r="N11" s="718">
        <f>huishoudens!M8</f>
        <v>0</v>
      </c>
      <c r="O11" s="718">
        <f>huishoudens!N8</f>
        <v>8069.5833117927905</v>
      </c>
      <c r="P11" s="718">
        <f>huishoudens!O8</f>
        <v>126.63</v>
      </c>
      <c r="Q11" s="719">
        <f>huishoudens!P8</f>
        <v>686.4</v>
      </c>
      <c r="R11" s="721">
        <f>SUM(C11:Q11)</f>
        <v>64050.707610194033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1550.818286240564</v>
      </c>
      <c r="D13" s="718">
        <f>industrie!C18</f>
        <v>0</v>
      </c>
      <c r="E13" s="718">
        <f>industrie!D18</f>
        <v>782.75815895435539</v>
      </c>
      <c r="F13" s="718">
        <f>industrie!E18</f>
        <v>171.3281810051696</v>
      </c>
      <c r="G13" s="718">
        <f>industrie!F18</f>
        <v>536.36585335876862</v>
      </c>
      <c r="H13" s="718">
        <f>industrie!G18</f>
        <v>0</v>
      </c>
      <c r="I13" s="718">
        <f>industrie!H18</f>
        <v>0</v>
      </c>
      <c r="J13" s="718">
        <f>industrie!I18</f>
        <v>0</v>
      </c>
      <c r="K13" s="718">
        <f>industrie!J18</f>
        <v>2.8266130281089028</v>
      </c>
      <c r="L13" s="718">
        <f>industrie!K18</f>
        <v>0</v>
      </c>
      <c r="M13" s="718">
        <f>industrie!L18</f>
        <v>0</v>
      </c>
      <c r="N13" s="718">
        <f>industrie!M18</f>
        <v>0</v>
      </c>
      <c r="O13" s="718">
        <f>industrie!N18</f>
        <v>401.22779630700018</v>
      </c>
      <c r="P13" s="718">
        <f>industrie!O18</f>
        <v>0</v>
      </c>
      <c r="Q13" s="719">
        <f>industrie!P18</f>
        <v>0</v>
      </c>
      <c r="R13" s="721">
        <f>SUM(C13:Q13)</f>
        <v>3445.3248888939665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20769.639046660388</v>
      </c>
      <c r="D15" s="723">
        <f t="shared" ref="D15:Q15" ca="1" si="0">SUM(D9:D14)</f>
        <v>0</v>
      </c>
      <c r="E15" s="723">
        <f t="shared" ca="1" si="0"/>
        <v>28834.451358572431</v>
      </c>
      <c r="F15" s="723">
        <f t="shared" si="0"/>
        <v>7533.1253968438587</v>
      </c>
      <c r="G15" s="723">
        <f t="shared" ca="1" si="0"/>
        <v>11445.390930897091</v>
      </c>
      <c r="H15" s="723">
        <f t="shared" si="0"/>
        <v>0</v>
      </c>
      <c r="I15" s="723">
        <f t="shared" si="0"/>
        <v>0</v>
      </c>
      <c r="J15" s="723">
        <f t="shared" si="0"/>
        <v>0</v>
      </c>
      <c r="K15" s="723">
        <f t="shared" si="0"/>
        <v>3398.412793560818</v>
      </c>
      <c r="L15" s="723">
        <f t="shared" si="0"/>
        <v>0</v>
      </c>
      <c r="M15" s="723">
        <f t="shared" ca="1" si="0"/>
        <v>0</v>
      </c>
      <c r="N15" s="723">
        <f t="shared" si="0"/>
        <v>0</v>
      </c>
      <c r="O15" s="723">
        <f t="shared" ca="1" si="0"/>
        <v>9129.7579458310229</v>
      </c>
      <c r="P15" s="723">
        <f t="shared" si="0"/>
        <v>129.75666666666666</v>
      </c>
      <c r="Q15" s="724">
        <f t="shared" si="0"/>
        <v>724.5333333333333</v>
      </c>
      <c r="R15" s="725">
        <f ca="1">SUM(R9:R14)</f>
        <v>81965.067472365612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208.08133666366885</v>
      </c>
      <c r="I18" s="718">
        <f>transport!H54</f>
        <v>0</v>
      </c>
      <c r="J18" s="718">
        <f>transport!I54</f>
        <v>0</v>
      </c>
      <c r="K18" s="718">
        <f>transport!J54</f>
        <v>0</v>
      </c>
      <c r="L18" s="718">
        <f>transport!K54</f>
        <v>0</v>
      </c>
      <c r="M18" s="718">
        <f>transport!L54</f>
        <v>0</v>
      </c>
      <c r="N18" s="718">
        <f>transport!M54</f>
        <v>11.818101331541484</v>
      </c>
      <c r="O18" s="718">
        <f>transport!N54</f>
        <v>0</v>
      </c>
      <c r="P18" s="718">
        <f>transport!O54</f>
        <v>0</v>
      </c>
      <c r="Q18" s="719">
        <f>transport!P54</f>
        <v>0</v>
      </c>
      <c r="R18" s="721">
        <f>SUM(C18:Q18)</f>
        <v>219.89943799521035</v>
      </c>
      <c r="S18" s="67"/>
    </row>
    <row r="19" spans="1:19" s="474" customFormat="1" ht="15" thickBot="1">
      <c r="A19" s="870" t="s">
        <v>307</v>
      </c>
      <c r="B19" s="875"/>
      <c r="C19" s="727">
        <f>transport!B14</f>
        <v>15.607054944662726</v>
      </c>
      <c r="D19" s="727">
        <f>transport!C14</f>
        <v>0</v>
      </c>
      <c r="E19" s="727">
        <f>transport!D14</f>
        <v>64.482712324327267</v>
      </c>
      <c r="F19" s="727">
        <f>transport!E14</f>
        <v>84.016412452756597</v>
      </c>
      <c r="G19" s="727">
        <f>transport!F14</f>
        <v>0</v>
      </c>
      <c r="H19" s="727">
        <f>transport!G14</f>
        <v>35474.104758741778</v>
      </c>
      <c r="I19" s="727">
        <f>transport!H14</f>
        <v>7207.658696905115</v>
      </c>
      <c r="J19" s="727">
        <f>transport!I14</f>
        <v>0</v>
      </c>
      <c r="K19" s="727">
        <f>transport!J14</f>
        <v>0</v>
      </c>
      <c r="L19" s="727">
        <f>transport!K14</f>
        <v>0</v>
      </c>
      <c r="M19" s="727">
        <f>transport!L14</f>
        <v>0</v>
      </c>
      <c r="N19" s="727">
        <f>transport!M14</f>
        <v>2286.5207961206988</v>
      </c>
      <c r="O19" s="727">
        <f>transport!N14</f>
        <v>0</v>
      </c>
      <c r="P19" s="727">
        <f>transport!O14</f>
        <v>0</v>
      </c>
      <c r="Q19" s="728">
        <f>transport!P14</f>
        <v>0</v>
      </c>
      <c r="R19" s="729">
        <f>SUM(C19:Q19)</f>
        <v>45132.390431489337</v>
      </c>
      <c r="S19" s="67"/>
    </row>
    <row r="20" spans="1:19" s="474" customFormat="1" ht="15.75" thickBot="1">
      <c r="A20" s="730" t="s">
        <v>230</v>
      </c>
      <c r="B20" s="878"/>
      <c r="C20" s="873">
        <f>SUM(C17:C19)</f>
        <v>15.607054944662726</v>
      </c>
      <c r="D20" s="731">
        <f t="shared" ref="D20:R20" si="1">SUM(D17:D19)</f>
        <v>0</v>
      </c>
      <c r="E20" s="731">
        <f t="shared" si="1"/>
        <v>64.482712324327267</v>
      </c>
      <c r="F20" s="731">
        <f t="shared" si="1"/>
        <v>84.016412452756597</v>
      </c>
      <c r="G20" s="731">
        <f t="shared" si="1"/>
        <v>0</v>
      </c>
      <c r="H20" s="731">
        <f t="shared" si="1"/>
        <v>35682.18609540545</v>
      </c>
      <c r="I20" s="731">
        <f t="shared" si="1"/>
        <v>7207.658696905115</v>
      </c>
      <c r="J20" s="731">
        <f t="shared" si="1"/>
        <v>0</v>
      </c>
      <c r="K20" s="731">
        <f t="shared" si="1"/>
        <v>0</v>
      </c>
      <c r="L20" s="731">
        <f t="shared" si="1"/>
        <v>0</v>
      </c>
      <c r="M20" s="731">
        <f t="shared" si="1"/>
        <v>0</v>
      </c>
      <c r="N20" s="731">
        <f t="shared" si="1"/>
        <v>2298.3388974522404</v>
      </c>
      <c r="O20" s="731">
        <f t="shared" si="1"/>
        <v>0</v>
      </c>
      <c r="P20" s="731">
        <f t="shared" si="1"/>
        <v>0</v>
      </c>
      <c r="Q20" s="732">
        <f t="shared" si="1"/>
        <v>0</v>
      </c>
      <c r="R20" s="733">
        <f t="shared" si="1"/>
        <v>45352.28986948455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5062.71178190316</v>
      </c>
      <c r="D22" s="727">
        <f>+landbouw!C8</f>
        <v>0</v>
      </c>
      <c r="E22" s="727">
        <f>+landbouw!D8</f>
        <v>739.99702481573865</v>
      </c>
      <c r="F22" s="727">
        <f>+landbouw!E8</f>
        <v>148.80856257671383</v>
      </c>
      <c r="G22" s="727">
        <f>+landbouw!F8</f>
        <v>21090.983708823162</v>
      </c>
      <c r="H22" s="727">
        <f>+landbouw!G8</f>
        <v>0</v>
      </c>
      <c r="I22" s="727">
        <f>+landbouw!H8</f>
        <v>0</v>
      </c>
      <c r="J22" s="727">
        <f>+landbouw!I8</f>
        <v>0</v>
      </c>
      <c r="K22" s="727">
        <f>+landbouw!J8</f>
        <v>733.47821421771164</v>
      </c>
      <c r="L22" s="727">
        <f>+landbouw!K8</f>
        <v>0</v>
      </c>
      <c r="M22" s="727">
        <f>+landbouw!L8</f>
        <v>0</v>
      </c>
      <c r="N22" s="727">
        <f>+landbouw!M8</f>
        <v>0</v>
      </c>
      <c r="O22" s="727">
        <f>+landbouw!N8</f>
        <v>0</v>
      </c>
      <c r="P22" s="727">
        <f>+landbouw!O8</f>
        <v>0</v>
      </c>
      <c r="Q22" s="728">
        <f>+landbouw!P8</f>
        <v>0</v>
      </c>
      <c r="R22" s="729">
        <f>SUM(C22:Q22)</f>
        <v>27775.979292336484</v>
      </c>
      <c r="S22" s="67"/>
    </row>
    <row r="23" spans="1:19" s="474" customFormat="1" ht="17.25" thickTop="1" thickBot="1">
      <c r="A23" s="734" t="s">
        <v>116</v>
      </c>
      <c r="B23" s="864"/>
      <c r="C23" s="735">
        <f ca="1">C20+C15+C22</f>
        <v>25847.95788350821</v>
      </c>
      <c r="D23" s="735">
        <f t="shared" ref="D23:Q23" ca="1" si="2">D20+D15+D22</f>
        <v>0</v>
      </c>
      <c r="E23" s="735">
        <f t="shared" ca="1" si="2"/>
        <v>29638.931095712494</v>
      </c>
      <c r="F23" s="735">
        <f t="shared" si="2"/>
        <v>7765.9503718733285</v>
      </c>
      <c r="G23" s="735">
        <f t="shared" ca="1" si="2"/>
        <v>32536.374639720252</v>
      </c>
      <c r="H23" s="735">
        <f t="shared" si="2"/>
        <v>35682.18609540545</v>
      </c>
      <c r="I23" s="735">
        <f t="shared" si="2"/>
        <v>7207.658696905115</v>
      </c>
      <c r="J23" s="735">
        <f t="shared" si="2"/>
        <v>0</v>
      </c>
      <c r="K23" s="735">
        <f t="shared" si="2"/>
        <v>4131.8910077785295</v>
      </c>
      <c r="L23" s="735">
        <f t="shared" si="2"/>
        <v>0</v>
      </c>
      <c r="M23" s="735">
        <f t="shared" ca="1" si="2"/>
        <v>0</v>
      </c>
      <c r="N23" s="735">
        <f t="shared" si="2"/>
        <v>2298.3388974522404</v>
      </c>
      <c r="O23" s="735">
        <f t="shared" ca="1" si="2"/>
        <v>9129.7579458310229</v>
      </c>
      <c r="P23" s="735">
        <f t="shared" si="2"/>
        <v>129.75666666666666</v>
      </c>
      <c r="Q23" s="736">
        <f t="shared" si="2"/>
        <v>724.5333333333333</v>
      </c>
      <c r="R23" s="737">
        <f ca="1">R20+R15+R22</f>
        <v>155093.33663418665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1136.5277333103011</v>
      </c>
      <c r="D36" s="718">
        <f ca="1">tertiair!C20</f>
        <v>0</v>
      </c>
      <c r="E36" s="718">
        <f ca="1">tertiair!D20</f>
        <v>1445.5176707272851</v>
      </c>
      <c r="F36" s="718">
        <f>tertiair!E20</f>
        <v>14.427645523642733</v>
      </c>
      <c r="G36" s="718">
        <f ca="1">tertiair!F20</f>
        <v>225.94823201725134</v>
      </c>
      <c r="H36" s="718">
        <f>tertiair!G20</f>
        <v>0</v>
      </c>
      <c r="I36" s="718">
        <f>tertiair!H20</f>
        <v>0</v>
      </c>
      <c r="J36" s="718">
        <f>tertiair!I20</f>
        <v>0</v>
      </c>
      <c r="K36" s="718">
        <f>tertiair!J20</f>
        <v>5.9095196668722087E-3</v>
      </c>
      <c r="L36" s="718">
        <f>tertiair!K20</f>
        <v>0</v>
      </c>
      <c r="M36" s="718">
        <f ca="1">tertiair!L20</f>
        <v>0</v>
      </c>
      <c r="N36" s="718">
        <f>tertiair!M20</f>
        <v>0</v>
      </c>
      <c r="O36" s="718">
        <f ca="1">tertiair!N20</f>
        <v>0</v>
      </c>
      <c r="P36" s="718">
        <f>tertiair!O20</f>
        <v>0</v>
      </c>
      <c r="Q36" s="828">
        <f>tertiair!P20</f>
        <v>0</v>
      </c>
      <c r="R36" s="917">
        <f ca="1">SUM(C36:Q36)</f>
        <v>2822.4271910981474</v>
      </c>
    </row>
    <row r="37" spans="1:18">
      <c r="A37" s="885" t="s">
        <v>225</v>
      </c>
      <c r="B37" s="892"/>
      <c r="C37" s="718">
        <f ca="1">huishoudens!B12</f>
        <v>2693.5282648839934</v>
      </c>
      <c r="D37" s="718">
        <f ca="1">huishoudens!C12</f>
        <v>0</v>
      </c>
      <c r="E37" s="718">
        <f>huishoudens!D12</f>
        <v>4220.9243555955663</v>
      </c>
      <c r="F37" s="718">
        <f>huishoudens!E12</f>
        <v>1656.7003224717396</v>
      </c>
      <c r="G37" s="718">
        <f>huishoudens!F12</f>
        <v>2686.761463685481</v>
      </c>
      <c r="H37" s="718">
        <f>huishoudens!G12</f>
        <v>0</v>
      </c>
      <c r="I37" s="718">
        <f>huishoudens!H12</f>
        <v>0</v>
      </c>
      <c r="J37" s="718">
        <f>huishoudens!I12</f>
        <v>0</v>
      </c>
      <c r="K37" s="718">
        <f>huishoudens!J12</f>
        <v>1202.031598388912</v>
      </c>
      <c r="L37" s="718">
        <f>huishoudens!K12</f>
        <v>0</v>
      </c>
      <c r="M37" s="718">
        <f>huishoudens!L12</f>
        <v>0</v>
      </c>
      <c r="N37" s="718">
        <f>huishoudens!M12</f>
        <v>0</v>
      </c>
      <c r="O37" s="718">
        <f>huishoudens!N12</f>
        <v>0</v>
      </c>
      <c r="P37" s="718">
        <f>huishoudens!O12</f>
        <v>0</v>
      </c>
      <c r="Q37" s="828">
        <f>huishoudens!P12</f>
        <v>0</v>
      </c>
      <c r="R37" s="917">
        <f ca="1">SUM(C37:Q37)</f>
        <v>12459.946005025693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309.05750947829318</v>
      </c>
      <c r="D39" s="718">
        <f ca="1">industrie!C22</f>
        <v>0</v>
      </c>
      <c r="E39" s="718">
        <f>industrie!D22</f>
        <v>158.11714810877979</v>
      </c>
      <c r="F39" s="718">
        <f>industrie!E22</f>
        <v>38.891497088173502</v>
      </c>
      <c r="G39" s="718">
        <f>industrie!F22</f>
        <v>143.20968284679122</v>
      </c>
      <c r="H39" s="718">
        <f>industrie!G22</f>
        <v>0</v>
      </c>
      <c r="I39" s="718">
        <f>industrie!H22</f>
        <v>0</v>
      </c>
      <c r="J39" s="718">
        <f>industrie!I22</f>
        <v>0</v>
      </c>
      <c r="K39" s="718">
        <f>industrie!J22</f>
        <v>1.0006210119505516</v>
      </c>
      <c r="L39" s="718">
        <f>industrie!K22</f>
        <v>0</v>
      </c>
      <c r="M39" s="718">
        <f>industrie!L22</f>
        <v>0</v>
      </c>
      <c r="N39" s="718">
        <f>industrie!M22</f>
        <v>0</v>
      </c>
      <c r="O39" s="718">
        <f>industrie!N22</f>
        <v>0</v>
      </c>
      <c r="P39" s="718">
        <f>industrie!O22</f>
        <v>0</v>
      </c>
      <c r="Q39" s="828">
        <f>industrie!P22</f>
        <v>0</v>
      </c>
      <c r="R39" s="918">
        <f ca="1">SUM(C39:Q39)</f>
        <v>650.27645853398815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4139.1135076725877</v>
      </c>
      <c r="D41" s="763">
        <f t="shared" ref="D41:R41" ca="1" si="4">SUM(D35:D40)</f>
        <v>0</v>
      </c>
      <c r="E41" s="763">
        <f t="shared" ca="1" si="4"/>
        <v>5824.5591744316307</v>
      </c>
      <c r="F41" s="763">
        <f t="shared" si="4"/>
        <v>1710.0194650835558</v>
      </c>
      <c r="G41" s="763">
        <f t="shared" ca="1" si="4"/>
        <v>3055.9193785495236</v>
      </c>
      <c r="H41" s="763">
        <f t="shared" si="4"/>
        <v>0</v>
      </c>
      <c r="I41" s="763">
        <f t="shared" si="4"/>
        <v>0</v>
      </c>
      <c r="J41" s="763">
        <f t="shared" si="4"/>
        <v>0</v>
      </c>
      <c r="K41" s="763">
        <f t="shared" si="4"/>
        <v>1203.0381289205293</v>
      </c>
      <c r="L41" s="763">
        <f t="shared" si="4"/>
        <v>0</v>
      </c>
      <c r="M41" s="763">
        <f t="shared" ca="1" si="4"/>
        <v>0</v>
      </c>
      <c r="N41" s="763">
        <f t="shared" si="4"/>
        <v>0</v>
      </c>
      <c r="O41" s="763">
        <f t="shared" ca="1" si="4"/>
        <v>0</v>
      </c>
      <c r="P41" s="763">
        <f t="shared" si="4"/>
        <v>0</v>
      </c>
      <c r="Q41" s="764">
        <f t="shared" si="4"/>
        <v>0</v>
      </c>
      <c r="R41" s="765">
        <f t="shared" ca="1" si="4"/>
        <v>15932.649654657829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55.55771688919959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55.55771688919959</v>
      </c>
    </row>
    <row r="45" spans="1:18" ht="15" thickBot="1">
      <c r="A45" s="888" t="s">
        <v>307</v>
      </c>
      <c r="B45" s="898"/>
      <c r="C45" s="727">
        <f ca="1">transport!B18</f>
        <v>3.1102789890240707</v>
      </c>
      <c r="D45" s="727">
        <f>transport!C18</f>
        <v>0</v>
      </c>
      <c r="E45" s="727">
        <f>transport!D18</f>
        <v>13.025507889514108</v>
      </c>
      <c r="F45" s="727">
        <f>transport!E18</f>
        <v>19.071725626775748</v>
      </c>
      <c r="G45" s="727">
        <f>transport!F18</f>
        <v>0</v>
      </c>
      <c r="H45" s="727">
        <f>transport!G18</f>
        <v>9471.5859705840558</v>
      </c>
      <c r="I45" s="727">
        <f>transport!H18</f>
        <v>1794.7070155293736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11301.500498618743</v>
      </c>
    </row>
    <row r="46" spans="1:18" ht="15.75" thickBot="1">
      <c r="A46" s="886" t="s">
        <v>230</v>
      </c>
      <c r="B46" s="899"/>
      <c r="C46" s="763">
        <f t="shared" ref="C46:R46" ca="1" si="5">SUM(C43:C45)</f>
        <v>3.1102789890240707</v>
      </c>
      <c r="D46" s="763">
        <f t="shared" ca="1" si="5"/>
        <v>0</v>
      </c>
      <c r="E46" s="763">
        <f t="shared" si="5"/>
        <v>13.025507889514108</v>
      </c>
      <c r="F46" s="763">
        <f t="shared" si="5"/>
        <v>19.071725626775748</v>
      </c>
      <c r="G46" s="763">
        <f t="shared" si="5"/>
        <v>0</v>
      </c>
      <c r="H46" s="763">
        <f t="shared" si="5"/>
        <v>9527.1436874732553</v>
      </c>
      <c r="I46" s="763">
        <f t="shared" si="5"/>
        <v>1794.7070155293736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11357.058215507943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1008.9312902767062</v>
      </c>
      <c r="D48" s="718">
        <f ca="1">+landbouw!C12</f>
        <v>0</v>
      </c>
      <c r="E48" s="718">
        <f>+landbouw!D12</f>
        <v>149.47939901277923</v>
      </c>
      <c r="F48" s="718">
        <f>+landbouw!E12</f>
        <v>33.77954370491404</v>
      </c>
      <c r="G48" s="718">
        <f>+landbouw!F12</f>
        <v>5631.2926502557848</v>
      </c>
      <c r="H48" s="718">
        <f>+landbouw!G12</f>
        <v>0</v>
      </c>
      <c r="I48" s="718">
        <f>+landbouw!H12</f>
        <v>0</v>
      </c>
      <c r="J48" s="718">
        <f>+landbouw!I12</f>
        <v>0</v>
      </c>
      <c r="K48" s="718">
        <f>+landbouw!J12</f>
        <v>259.65128783306989</v>
      </c>
      <c r="L48" s="718">
        <f>+landbouw!K12</f>
        <v>0</v>
      </c>
      <c r="M48" s="718">
        <f>+landbouw!L12</f>
        <v>0</v>
      </c>
      <c r="N48" s="718">
        <f>+landbouw!M12</f>
        <v>0</v>
      </c>
      <c r="O48" s="718">
        <f>+landbouw!N12</f>
        <v>0</v>
      </c>
      <c r="P48" s="718">
        <f>+landbouw!O12</f>
        <v>0</v>
      </c>
      <c r="Q48" s="719">
        <f>+landbouw!P12</f>
        <v>0</v>
      </c>
      <c r="R48" s="761">
        <f ca="1">SUM(C48:Q48)</f>
        <v>7083.1341710832539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5151.1550769383175</v>
      </c>
      <c r="D53" s="773">
        <f t="shared" ref="D53:Q53" ca="1" si="6">D41+D46+D48</f>
        <v>0</v>
      </c>
      <c r="E53" s="773">
        <f t="shared" ca="1" si="6"/>
        <v>5987.0640813339242</v>
      </c>
      <c r="F53" s="773">
        <f t="shared" si="6"/>
        <v>1762.8707344152456</v>
      </c>
      <c r="G53" s="773">
        <f t="shared" ca="1" si="6"/>
        <v>8687.2120288053084</v>
      </c>
      <c r="H53" s="773">
        <f t="shared" si="6"/>
        <v>9527.1436874732553</v>
      </c>
      <c r="I53" s="773">
        <f t="shared" si="6"/>
        <v>1794.7070155293736</v>
      </c>
      <c r="J53" s="773">
        <f t="shared" si="6"/>
        <v>0</v>
      </c>
      <c r="K53" s="773">
        <f t="shared" si="6"/>
        <v>1462.6894167535993</v>
      </c>
      <c r="L53" s="773">
        <f t="shared" si="6"/>
        <v>0</v>
      </c>
      <c r="M53" s="773">
        <f t="shared" ca="1" si="6"/>
        <v>0</v>
      </c>
      <c r="N53" s="773">
        <f t="shared" si="6"/>
        <v>0</v>
      </c>
      <c r="O53" s="773">
        <f t="shared" ca="1" si="6"/>
        <v>0</v>
      </c>
      <c r="P53" s="773">
        <f>P41+P46+P48</f>
        <v>0</v>
      </c>
      <c r="Q53" s="774">
        <f t="shared" si="6"/>
        <v>0</v>
      </c>
      <c r="R53" s="775">
        <f ca="1">R41+R46+R48</f>
        <v>34372.84204124903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0.19928673283025242</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2539.5638702126562</v>
      </c>
      <c r="C66" s="795">
        <f>'lokale energieproductie'!B6</f>
        <v>2539.5638702126562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2539.5638702126562</v>
      </c>
      <c r="C69" s="803">
        <f>SUM(C64:C68)</f>
        <v>2539.5638702126562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13515.843361124673</v>
      </c>
      <c r="C4" s="478">
        <f>huishoudens!C8</f>
        <v>0</v>
      </c>
      <c r="D4" s="478">
        <f>huishoudens!D8</f>
        <v>20895.665126710723</v>
      </c>
      <c r="E4" s="478">
        <f>huishoudens!E8</f>
        <v>7298.2393060429058</v>
      </c>
      <c r="F4" s="478">
        <f>huishoudens!F8</f>
        <v>10062.777017548617</v>
      </c>
      <c r="G4" s="478">
        <f>huishoudens!G8</f>
        <v>0</v>
      </c>
      <c r="H4" s="478">
        <f>huishoudens!H8</f>
        <v>0</v>
      </c>
      <c r="I4" s="478">
        <f>huishoudens!I8</f>
        <v>0</v>
      </c>
      <c r="J4" s="478">
        <f>huishoudens!J8</f>
        <v>3395.5694869743279</v>
      </c>
      <c r="K4" s="478">
        <f>huishoudens!K8</f>
        <v>0</v>
      </c>
      <c r="L4" s="478">
        <f>huishoudens!L8</f>
        <v>0</v>
      </c>
      <c r="M4" s="478">
        <f>huishoudens!M8</f>
        <v>0</v>
      </c>
      <c r="N4" s="478">
        <f>huishoudens!N8</f>
        <v>8069.5833117927905</v>
      </c>
      <c r="O4" s="478">
        <f>huishoudens!O8</f>
        <v>126.63</v>
      </c>
      <c r="P4" s="479">
        <f>huishoudens!P8</f>
        <v>686.4</v>
      </c>
      <c r="Q4" s="480">
        <f>SUM(B4:P4)</f>
        <v>64050.707610194033</v>
      </c>
    </row>
    <row r="5" spans="1:17">
      <c r="A5" s="477" t="s">
        <v>156</v>
      </c>
      <c r="B5" s="478">
        <f ca="1">tertiair!B16</f>
        <v>5020.3663992951533</v>
      </c>
      <c r="C5" s="478">
        <f ca="1">tertiair!C16</f>
        <v>0</v>
      </c>
      <c r="D5" s="478">
        <f ca="1">tertiair!D16</f>
        <v>7156.028072907352</v>
      </c>
      <c r="E5" s="478">
        <f>tertiair!E16</f>
        <v>63.557909795782962</v>
      </c>
      <c r="F5" s="478">
        <f ca="1">tertiair!F16</f>
        <v>846.24805998970533</v>
      </c>
      <c r="G5" s="478">
        <f>tertiair!G16</f>
        <v>0</v>
      </c>
      <c r="H5" s="478">
        <f>tertiair!H16</f>
        <v>0</v>
      </c>
      <c r="I5" s="478">
        <f>tertiair!I16</f>
        <v>0</v>
      </c>
      <c r="J5" s="478">
        <f>tertiair!J16</f>
        <v>1.6693558380994941E-2</v>
      </c>
      <c r="K5" s="478">
        <f>tertiair!K16</f>
        <v>0</v>
      </c>
      <c r="L5" s="478">
        <f ca="1">tertiair!L16</f>
        <v>0</v>
      </c>
      <c r="M5" s="478">
        <f>tertiair!M16</f>
        <v>0</v>
      </c>
      <c r="N5" s="478">
        <f ca="1">tertiair!N16</f>
        <v>658.94683773123143</v>
      </c>
      <c r="O5" s="478">
        <f>tertiair!O16</f>
        <v>3.1266666666666669</v>
      </c>
      <c r="P5" s="479">
        <f>tertiair!P16</f>
        <v>38.133333333333333</v>
      </c>
      <c r="Q5" s="477">
        <f t="shared" ref="Q5:Q13" ca="1" si="0">SUM(B5:P5)</f>
        <v>13786.423973277604</v>
      </c>
    </row>
    <row r="6" spans="1:17">
      <c r="A6" s="477" t="s">
        <v>194</v>
      </c>
      <c r="B6" s="478">
        <f>'openbare verlichting'!B8</f>
        <v>682.61099999999999</v>
      </c>
      <c r="C6" s="478"/>
      <c r="D6" s="478"/>
      <c r="E6" s="478"/>
      <c r="F6" s="478"/>
      <c r="G6" s="478"/>
      <c r="H6" s="478"/>
      <c r="I6" s="478"/>
      <c r="J6" s="478"/>
      <c r="K6" s="478"/>
      <c r="L6" s="478"/>
      <c r="M6" s="478"/>
      <c r="N6" s="478"/>
      <c r="O6" s="478"/>
      <c r="P6" s="479"/>
      <c r="Q6" s="477">
        <f t="shared" si="0"/>
        <v>682.61099999999999</v>
      </c>
    </row>
    <row r="7" spans="1:17">
      <c r="A7" s="477" t="s">
        <v>112</v>
      </c>
      <c r="B7" s="478">
        <f>landbouw!B8</f>
        <v>5062.71178190316</v>
      </c>
      <c r="C7" s="478">
        <f>landbouw!C8</f>
        <v>0</v>
      </c>
      <c r="D7" s="478">
        <f>landbouw!D8</f>
        <v>739.99702481573865</v>
      </c>
      <c r="E7" s="478">
        <f>landbouw!E8</f>
        <v>148.80856257671383</v>
      </c>
      <c r="F7" s="478">
        <f>landbouw!F8</f>
        <v>21090.983708823162</v>
      </c>
      <c r="G7" s="478">
        <f>landbouw!G8</f>
        <v>0</v>
      </c>
      <c r="H7" s="478">
        <f>landbouw!H8</f>
        <v>0</v>
      </c>
      <c r="I7" s="478">
        <f>landbouw!I8</f>
        <v>0</v>
      </c>
      <c r="J7" s="478">
        <f>landbouw!J8</f>
        <v>733.47821421771164</v>
      </c>
      <c r="K7" s="478">
        <f>landbouw!K8</f>
        <v>0</v>
      </c>
      <c r="L7" s="478">
        <f>landbouw!L8</f>
        <v>0</v>
      </c>
      <c r="M7" s="478">
        <f>landbouw!M8</f>
        <v>0</v>
      </c>
      <c r="N7" s="478">
        <f>landbouw!N8</f>
        <v>0</v>
      </c>
      <c r="O7" s="478">
        <f>landbouw!O8</f>
        <v>0</v>
      </c>
      <c r="P7" s="479">
        <f>landbouw!P8</f>
        <v>0</v>
      </c>
      <c r="Q7" s="477">
        <f t="shared" si="0"/>
        <v>27775.979292336484</v>
      </c>
    </row>
    <row r="8" spans="1:17">
      <c r="A8" s="477" t="s">
        <v>635</v>
      </c>
      <c r="B8" s="478">
        <f>industrie!B18</f>
        <v>1550.818286240564</v>
      </c>
      <c r="C8" s="478">
        <f>industrie!C18</f>
        <v>0</v>
      </c>
      <c r="D8" s="478">
        <f>industrie!D18</f>
        <v>782.75815895435539</v>
      </c>
      <c r="E8" s="478">
        <f>industrie!E18</f>
        <v>171.3281810051696</v>
      </c>
      <c r="F8" s="478">
        <f>industrie!F18</f>
        <v>536.36585335876862</v>
      </c>
      <c r="G8" s="478">
        <f>industrie!G18</f>
        <v>0</v>
      </c>
      <c r="H8" s="478">
        <f>industrie!H18</f>
        <v>0</v>
      </c>
      <c r="I8" s="478">
        <f>industrie!I18</f>
        <v>0</v>
      </c>
      <c r="J8" s="478">
        <f>industrie!J18</f>
        <v>2.8266130281089028</v>
      </c>
      <c r="K8" s="478">
        <f>industrie!K18</f>
        <v>0</v>
      </c>
      <c r="L8" s="478">
        <f>industrie!L18</f>
        <v>0</v>
      </c>
      <c r="M8" s="478">
        <f>industrie!M18</f>
        <v>0</v>
      </c>
      <c r="N8" s="478">
        <f>industrie!N18</f>
        <v>401.22779630700018</v>
      </c>
      <c r="O8" s="478">
        <f>industrie!O18</f>
        <v>0</v>
      </c>
      <c r="P8" s="479">
        <f>industrie!P18</f>
        <v>0</v>
      </c>
      <c r="Q8" s="477">
        <f t="shared" si="0"/>
        <v>3445.3248888939665</v>
      </c>
    </row>
    <row r="9" spans="1:17" s="483" customFormat="1">
      <c r="A9" s="481" t="s">
        <v>561</v>
      </c>
      <c r="B9" s="482">
        <f>transport!B14</f>
        <v>15.607054944662726</v>
      </c>
      <c r="C9" s="482">
        <f>transport!C14</f>
        <v>0</v>
      </c>
      <c r="D9" s="482">
        <f>transport!D14</f>
        <v>64.482712324327267</v>
      </c>
      <c r="E9" s="482">
        <f>transport!E14</f>
        <v>84.016412452756597</v>
      </c>
      <c r="F9" s="482">
        <f>transport!F14</f>
        <v>0</v>
      </c>
      <c r="G9" s="482">
        <f>transport!G14</f>
        <v>35474.104758741778</v>
      </c>
      <c r="H9" s="482">
        <f>transport!H14</f>
        <v>7207.658696905115</v>
      </c>
      <c r="I9" s="482">
        <f>transport!I14</f>
        <v>0</v>
      </c>
      <c r="J9" s="482">
        <f>transport!J14</f>
        <v>0</v>
      </c>
      <c r="K9" s="482">
        <f>transport!K14</f>
        <v>0</v>
      </c>
      <c r="L9" s="482">
        <f>transport!L14</f>
        <v>0</v>
      </c>
      <c r="M9" s="482">
        <f>transport!M14</f>
        <v>2286.5207961206988</v>
      </c>
      <c r="N9" s="482">
        <f>transport!N14</f>
        <v>0</v>
      </c>
      <c r="O9" s="482">
        <f>transport!O14</f>
        <v>0</v>
      </c>
      <c r="P9" s="482">
        <f>transport!P14</f>
        <v>0</v>
      </c>
      <c r="Q9" s="481">
        <f>SUM(B9:P9)</f>
        <v>45132.390431489337</v>
      </c>
    </row>
    <row r="10" spans="1:17">
      <c r="A10" s="477" t="s">
        <v>551</v>
      </c>
      <c r="B10" s="478">
        <f>transport!B54</f>
        <v>0</v>
      </c>
      <c r="C10" s="478">
        <f>transport!C54</f>
        <v>0</v>
      </c>
      <c r="D10" s="478">
        <f>transport!D54</f>
        <v>0</v>
      </c>
      <c r="E10" s="478">
        <f>transport!E54</f>
        <v>0</v>
      </c>
      <c r="F10" s="478">
        <f>transport!F54</f>
        <v>0</v>
      </c>
      <c r="G10" s="478">
        <f>transport!G54</f>
        <v>208.08133666366885</v>
      </c>
      <c r="H10" s="478">
        <f>transport!H54</f>
        <v>0</v>
      </c>
      <c r="I10" s="478">
        <f>transport!I54</f>
        <v>0</v>
      </c>
      <c r="J10" s="478">
        <f>transport!J54</f>
        <v>0</v>
      </c>
      <c r="K10" s="478">
        <f>transport!K54</f>
        <v>0</v>
      </c>
      <c r="L10" s="478">
        <f>transport!L54</f>
        <v>0</v>
      </c>
      <c r="M10" s="478">
        <f>transport!M54</f>
        <v>11.818101331541484</v>
      </c>
      <c r="N10" s="478">
        <f>transport!N54</f>
        <v>0</v>
      </c>
      <c r="O10" s="478">
        <f>transport!O54</f>
        <v>0</v>
      </c>
      <c r="P10" s="479">
        <f>transport!P54</f>
        <v>0</v>
      </c>
      <c r="Q10" s="477">
        <f t="shared" si="0"/>
        <v>219.89943799521035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25847.957883508214</v>
      </c>
      <c r="C14" s="488">
        <f t="shared" ref="C14:Q14" ca="1" si="1">SUM(C4:C13)</f>
        <v>0</v>
      </c>
      <c r="D14" s="488">
        <f t="shared" ca="1" si="1"/>
        <v>29638.931095712494</v>
      </c>
      <c r="E14" s="488">
        <f t="shared" si="1"/>
        <v>7765.9503718733285</v>
      </c>
      <c r="F14" s="488">
        <f t="shared" ca="1" si="1"/>
        <v>32536.374639720252</v>
      </c>
      <c r="G14" s="488">
        <f t="shared" si="1"/>
        <v>35682.18609540545</v>
      </c>
      <c r="H14" s="488">
        <f t="shared" si="1"/>
        <v>7207.658696905115</v>
      </c>
      <c r="I14" s="488">
        <f t="shared" si="1"/>
        <v>0</v>
      </c>
      <c r="J14" s="488">
        <f t="shared" si="1"/>
        <v>4131.8910077785295</v>
      </c>
      <c r="K14" s="488">
        <f t="shared" si="1"/>
        <v>0</v>
      </c>
      <c r="L14" s="488">
        <f t="shared" ca="1" si="1"/>
        <v>0</v>
      </c>
      <c r="M14" s="488">
        <f t="shared" si="1"/>
        <v>2298.3388974522404</v>
      </c>
      <c r="N14" s="488">
        <f t="shared" ca="1" si="1"/>
        <v>9129.7579458310229</v>
      </c>
      <c r="O14" s="488">
        <f t="shared" si="1"/>
        <v>129.75666666666666</v>
      </c>
      <c r="P14" s="489">
        <f t="shared" si="1"/>
        <v>724.5333333333333</v>
      </c>
      <c r="Q14" s="489">
        <f t="shared" ca="1" si="1"/>
        <v>155093.33663418665</v>
      </c>
    </row>
    <row r="16" spans="1:17">
      <c r="A16" s="491" t="s">
        <v>556</v>
      </c>
      <c r="B16" s="841">
        <f ca="1">huishoudens!B10</f>
        <v>0.19928673283025242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2693.5282648839934</v>
      </c>
      <c r="C21" s="478">
        <f t="shared" ref="C21:C30" ca="1" si="3">C4*$C$16</f>
        <v>0</v>
      </c>
      <c r="D21" s="478">
        <f t="shared" ref="D21:D30" si="4">D4*$D$16</f>
        <v>4220.9243555955663</v>
      </c>
      <c r="E21" s="478">
        <f t="shared" ref="E21:E30" si="5">E4*$E$16</f>
        <v>1656.7003224717396</v>
      </c>
      <c r="F21" s="478">
        <f t="shared" ref="F21:F30" si="6">F4*$F$16</f>
        <v>2686.761463685481</v>
      </c>
      <c r="G21" s="478">
        <f t="shared" ref="G21:G30" si="7">G4*$G$16</f>
        <v>0</v>
      </c>
      <c r="H21" s="478">
        <f t="shared" ref="H21:H30" si="8">H4*$H$16</f>
        <v>0</v>
      </c>
      <c r="I21" s="478">
        <f t="shared" ref="I21:I30" si="9">I4*$I$16</f>
        <v>0</v>
      </c>
      <c r="J21" s="478">
        <f t="shared" ref="J21:J30" si="10">J4*$J$16</f>
        <v>1202.031598388912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12459.946005025693</v>
      </c>
    </row>
    <row r="22" spans="1:17">
      <c r="A22" s="477" t="s">
        <v>156</v>
      </c>
      <c r="B22" s="478">
        <f t="shared" ca="1" si="2"/>
        <v>1000.4924173263096</v>
      </c>
      <c r="C22" s="478">
        <f t="shared" ca="1" si="3"/>
        <v>0</v>
      </c>
      <c r="D22" s="478">
        <f t="shared" ca="1" si="4"/>
        <v>1445.5176707272851</v>
      </c>
      <c r="E22" s="478">
        <f t="shared" si="5"/>
        <v>14.427645523642733</v>
      </c>
      <c r="F22" s="478">
        <f t="shared" ca="1" si="6"/>
        <v>225.94823201725134</v>
      </c>
      <c r="G22" s="478">
        <f t="shared" si="7"/>
        <v>0</v>
      </c>
      <c r="H22" s="478">
        <f t="shared" si="8"/>
        <v>0</v>
      </c>
      <c r="I22" s="478">
        <f t="shared" si="9"/>
        <v>0</v>
      </c>
      <c r="J22" s="478">
        <f t="shared" si="10"/>
        <v>5.9095196668722087E-3</v>
      </c>
      <c r="K22" s="478">
        <f t="shared" si="11"/>
        <v>0</v>
      </c>
      <c r="L22" s="478">
        <f t="shared" ca="1" si="12"/>
        <v>0</v>
      </c>
      <c r="M22" s="478">
        <f t="shared" si="13"/>
        <v>0</v>
      </c>
      <c r="N22" s="478">
        <f t="shared" ca="1" si="14"/>
        <v>0</v>
      </c>
      <c r="O22" s="478">
        <f t="shared" si="15"/>
        <v>0</v>
      </c>
      <c r="P22" s="479">
        <f t="shared" si="16"/>
        <v>0</v>
      </c>
      <c r="Q22" s="477">
        <f t="shared" ref="Q22:Q30" ca="1" si="17">SUM(B22:P22)</f>
        <v>2686.3918751141559</v>
      </c>
    </row>
    <row r="23" spans="1:17">
      <c r="A23" s="477" t="s">
        <v>194</v>
      </c>
      <c r="B23" s="478">
        <f t="shared" ca="1" si="2"/>
        <v>136.03531598399144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136.03531598399144</v>
      </c>
    </row>
    <row r="24" spans="1:17">
      <c r="A24" s="477" t="s">
        <v>112</v>
      </c>
      <c r="B24" s="478">
        <f t="shared" ca="1" si="2"/>
        <v>1008.9312902767062</v>
      </c>
      <c r="C24" s="478">
        <f t="shared" ca="1" si="3"/>
        <v>0</v>
      </c>
      <c r="D24" s="478">
        <f t="shared" si="4"/>
        <v>149.47939901277923</v>
      </c>
      <c r="E24" s="478">
        <f t="shared" si="5"/>
        <v>33.77954370491404</v>
      </c>
      <c r="F24" s="478">
        <f t="shared" si="6"/>
        <v>5631.2926502557848</v>
      </c>
      <c r="G24" s="478">
        <f t="shared" si="7"/>
        <v>0</v>
      </c>
      <c r="H24" s="478">
        <f t="shared" si="8"/>
        <v>0</v>
      </c>
      <c r="I24" s="478">
        <f t="shared" si="9"/>
        <v>0</v>
      </c>
      <c r="J24" s="478">
        <f t="shared" si="10"/>
        <v>259.65128783306989</v>
      </c>
      <c r="K24" s="478">
        <f t="shared" si="11"/>
        <v>0</v>
      </c>
      <c r="L24" s="478">
        <f t="shared" si="12"/>
        <v>0</v>
      </c>
      <c r="M24" s="478">
        <f t="shared" si="13"/>
        <v>0</v>
      </c>
      <c r="N24" s="478">
        <f t="shared" si="14"/>
        <v>0</v>
      </c>
      <c r="O24" s="478">
        <f t="shared" si="15"/>
        <v>0</v>
      </c>
      <c r="P24" s="479">
        <f t="shared" si="16"/>
        <v>0</v>
      </c>
      <c r="Q24" s="477">
        <f t="shared" ca="1" si="17"/>
        <v>7083.1341710832539</v>
      </c>
    </row>
    <row r="25" spans="1:17">
      <c r="A25" s="477" t="s">
        <v>635</v>
      </c>
      <c r="B25" s="478">
        <f t="shared" ca="1" si="2"/>
        <v>309.05750947829318</v>
      </c>
      <c r="C25" s="478">
        <f t="shared" ca="1" si="3"/>
        <v>0</v>
      </c>
      <c r="D25" s="478">
        <f t="shared" si="4"/>
        <v>158.11714810877979</v>
      </c>
      <c r="E25" s="478">
        <f t="shared" si="5"/>
        <v>38.891497088173502</v>
      </c>
      <c r="F25" s="478">
        <f t="shared" si="6"/>
        <v>143.20968284679122</v>
      </c>
      <c r="G25" s="478">
        <f t="shared" si="7"/>
        <v>0</v>
      </c>
      <c r="H25" s="478">
        <f t="shared" si="8"/>
        <v>0</v>
      </c>
      <c r="I25" s="478">
        <f t="shared" si="9"/>
        <v>0</v>
      </c>
      <c r="J25" s="478">
        <f t="shared" si="10"/>
        <v>1.0006210119505516</v>
      </c>
      <c r="K25" s="478">
        <f t="shared" si="11"/>
        <v>0</v>
      </c>
      <c r="L25" s="478">
        <f t="shared" si="12"/>
        <v>0</v>
      </c>
      <c r="M25" s="478">
        <f t="shared" si="13"/>
        <v>0</v>
      </c>
      <c r="N25" s="478">
        <f t="shared" si="14"/>
        <v>0</v>
      </c>
      <c r="O25" s="478">
        <f t="shared" si="15"/>
        <v>0</v>
      </c>
      <c r="P25" s="479">
        <f t="shared" si="16"/>
        <v>0</v>
      </c>
      <c r="Q25" s="477">
        <f t="shared" ca="1" si="17"/>
        <v>650.27645853398815</v>
      </c>
    </row>
    <row r="26" spans="1:17" s="483" customFormat="1">
      <c r="A26" s="481" t="s">
        <v>561</v>
      </c>
      <c r="B26" s="835">
        <f t="shared" ca="1" si="2"/>
        <v>3.1102789890240707</v>
      </c>
      <c r="C26" s="482">
        <f t="shared" ca="1" si="3"/>
        <v>0</v>
      </c>
      <c r="D26" s="482">
        <f t="shared" si="4"/>
        <v>13.025507889514108</v>
      </c>
      <c r="E26" s="482">
        <f t="shared" si="5"/>
        <v>19.071725626775748</v>
      </c>
      <c r="F26" s="482">
        <f t="shared" si="6"/>
        <v>0</v>
      </c>
      <c r="G26" s="482">
        <f t="shared" si="7"/>
        <v>9471.5859705840558</v>
      </c>
      <c r="H26" s="482">
        <f t="shared" si="8"/>
        <v>1794.7070155293736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11301.500498618743</v>
      </c>
    </row>
    <row r="27" spans="1:17">
      <c r="A27" s="477" t="s">
        <v>551</v>
      </c>
      <c r="B27" s="478">
        <f t="shared" ca="1" si="2"/>
        <v>0</v>
      </c>
      <c r="C27" s="478">
        <f t="shared" ca="1" si="3"/>
        <v>0</v>
      </c>
      <c r="D27" s="478">
        <f t="shared" si="4"/>
        <v>0</v>
      </c>
      <c r="E27" s="478">
        <f t="shared" si="5"/>
        <v>0</v>
      </c>
      <c r="F27" s="478">
        <f t="shared" si="6"/>
        <v>0</v>
      </c>
      <c r="G27" s="478">
        <f t="shared" si="7"/>
        <v>55.55771688919959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55.55771688919959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5151.1550769383175</v>
      </c>
      <c r="C31" s="488">
        <f t="shared" ca="1" si="18"/>
        <v>0</v>
      </c>
      <c r="D31" s="488">
        <f t="shared" ca="1" si="18"/>
        <v>5987.0640813339242</v>
      </c>
      <c r="E31" s="488">
        <f t="shared" si="18"/>
        <v>1762.8707344152456</v>
      </c>
      <c r="F31" s="488">
        <f t="shared" ca="1" si="18"/>
        <v>8687.2120288053084</v>
      </c>
      <c r="G31" s="488">
        <f t="shared" si="18"/>
        <v>9527.1436874732553</v>
      </c>
      <c r="H31" s="488">
        <f t="shared" si="18"/>
        <v>1794.7070155293736</v>
      </c>
      <c r="I31" s="488">
        <f t="shared" si="18"/>
        <v>0</v>
      </c>
      <c r="J31" s="488">
        <f t="shared" si="18"/>
        <v>1462.6894167535993</v>
      </c>
      <c r="K31" s="488">
        <f t="shared" si="18"/>
        <v>0</v>
      </c>
      <c r="L31" s="488">
        <f t="shared" ca="1" si="18"/>
        <v>0</v>
      </c>
      <c r="M31" s="488">
        <f t="shared" si="18"/>
        <v>0</v>
      </c>
      <c r="N31" s="488">
        <f t="shared" ca="1" si="18"/>
        <v>0</v>
      </c>
      <c r="O31" s="488">
        <f t="shared" si="18"/>
        <v>0</v>
      </c>
      <c r="P31" s="489">
        <f t="shared" si="18"/>
        <v>0</v>
      </c>
      <c r="Q31" s="489">
        <f t="shared" ca="1" si="18"/>
        <v>34372.842041249023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0.19928673283025242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0.19928673283025242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0.19928673283025242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2866</v>
      </c>
      <c r="C9" s="342">
        <v>2825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6059.50000000001</v>
      </c>
    </row>
    <row r="15" spans="1:6">
      <c r="A15" s="348" t="s">
        <v>184</v>
      </c>
      <c r="B15" s="334">
        <v>67</v>
      </c>
    </row>
    <row r="16" spans="1:6">
      <c r="A16" s="348" t="s">
        <v>6</v>
      </c>
      <c r="B16" s="334">
        <v>2293</v>
      </c>
    </row>
    <row r="17" spans="1:6">
      <c r="A17" s="348" t="s">
        <v>7</v>
      </c>
      <c r="B17" s="334">
        <v>1954</v>
      </c>
    </row>
    <row r="18" spans="1:6">
      <c r="A18" s="348" t="s">
        <v>8</v>
      </c>
      <c r="B18" s="334">
        <v>2972</v>
      </c>
    </row>
    <row r="19" spans="1:6">
      <c r="A19" s="348" t="s">
        <v>9</v>
      </c>
      <c r="B19" s="334">
        <v>2734</v>
      </c>
    </row>
    <row r="20" spans="1:6">
      <c r="A20" s="348" t="s">
        <v>10</v>
      </c>
      <c r="B20" s="334">
        <v>1326</v>
      </c>
    </row>
    <row r="21" spans="1:6">
      <c r="A21" s="348" t="s">
        <v>11</v>
      </c>
      <c r="B21" s="334">
        <v>15697</v>
      </c>
    </row>
    <row r="22" spans="1:6">
      <c r="A22" s="348" t="s">
        <v>12</v>
      </c>
      <c r="B22" s="334">
        <v>26070</v>
      </c>
    </row>
    <row r="23" spans="1:6">
      <c r="A23" s="348" t="s">
        <v>13</v>
      </c>
      <c r="B23" s="334">
        <v>923</v>
      </c>
    </row>
    <row r="24" spans="1:6">
      <c r="A24" s="348" t="s">
        <v>14</v>
      </c>
      <c r="B24" s="334">
        <v>30</v>
      </c>
    </row>
    <row r="25" spans="1:6">
      <c r="A25" s="348" t="s">
        <v>15</v>
      </c>
      <c r="B25" s="334">
        <v>3355</v>
      </c>
    </row>
    <row r="26" spans="1:6">
      <c r="A26" s="348" t="s">
        <v>16</v>
      </c>
      <c r="B26" s="334">
        <v>812</v>
      </c>
    </row>
    <row r="27" spans="1:6">
      <c r="A27" s="348" t="s">
        <v>17</v>
      </c>
      <c r="B27" s="334">
        <v>7</v>
      </c>
    </row>
    <row r="28" spans="1:6" s="356" customFormat="1">
      <c r="A28" s="355" t="s">
        <v>18</v>
      </c>
      <c r="B28" s="355">
        <v>424732</v>
      </c>
    </row>
    <row r="29" spans="1:6">
      <c r="A29" s="355" t="s">
        <v>744</v>
      </c>
      <c r="B29" s="355">
        <v>191</v>
      </c>
      <c r="C29" s="356"/>
      <c r="D29" s="356"/>
      <c r="E29" s="356"/>
      <c r="F29" s="356"/>
    </row>
    <row r="30" spans="1:6">
      <c r="A30" s="341" t="s">
        <v>745</v>
      </c>
      <c r="B30" s="341">
        <v>26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1385</v>
      </c>
      <c r="D39" s="334">
        <v>23161899.2546314</v>
      </c>
      <c r="E39" s="334">
        <v>2594</v>
      </c>
      <c r="F39" s="334">
        <v>11496717.532024199</v>
      </c>
    </row>
    <row r="40" spans="1:6">
      <c r="A40" s="348" t="s">
        <v>30</v>
      </c>
      <c r="B40" s="348" t="s">
        <v>29</v>
      </c>
      <c r="C40" s="334">
        <v>1</v>
      </c>
      <c r="D40" s="334">
        <v>4026.6064669654002</v>
      </c>
      <c r="E40" s="334">
        <v>2</v>
      </c>
      <c r="F40" s="334">
        <v>26235.464052392501</v>
      </c>
    </row>
    <row r="41" spans="1:6">
      <c r="A41" s="348" t="s">
        <v>32</v>
      </c>
      <c r="B41" s="348" t="s">
        <v>33</v>
      </c>
      <c r="C41" s="334">
        <v>19</v>
      </c>
      <c r="D41" s="334">
        <v>219630.42815291201</v>
      </c>
      <c r="E41" s="334">
        <v>66</v>
      </c>
      <c r="F41" s="334">
        <v>433921.17287779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22040.194214707099</v>
      </c>
    </row>
    <row r="48" spans="1:6">
      <c r="A48" s="348" t="s">
        <v>32</v>
      </c>
      <c r="B48" s="348" t="s">
        <v>29</v>
      </c>
      <c r="C48" s="334">
        <v>35</v>
      </c>
      <c r="D48" s="334">
        <v>648172.40882530902</v>
      </c>
      <c r="E48" s="334">
        <v>53</v>
      </c>
      <c r="F48" s="334">
        <v>788608.74330669304</v>
      </c>
    </row>
    <row r="49" spans="1:6">
      <c r="A49" s="348" t="s">
        <v>32</v>
      </c>
      <c r="B49" s="348" t="s">
        <v>40</v>
      </c>
      <c r="C49" s="334">
        <v>0</v>
      </c>
      <c r="D49" s="334">
        <v>0</v>
      </c>
      <c r="E49" s="334">
        <v>3</v>
      </c>
      <c r="F49" s="334">
        <v>306248.17584137397</v>
      </c>
    </row>
    <row r="50" spans="1:6">
      <c r="A50" s="348" t="s">
        <v>32</v>
      </c>
      <c r="B50" s="348" t="s">
        <v>41</v>
      </c>
      <c r="C50" s="334">
        <v>0</v>
      </c>
      <c r="D50" s="334">
        <v>0</v>
      </c>
      <c r="E50" s="334">
        <v>0</v>
      </c>
      <c r="F50" s="334">
        <v>0</v>
      </c>
    </row>
    <row r="51" spans="1:6">
      <c r="A51" s="348" t="s">
        <v>42</v>
      </c>
      <c r="B51" s="348" t="s">
        <v>43</v>
      </c>
      <c r="C51" s="334">
        <v>10</v>
      </c>
      <c r="D51" s="334">
        <v>189982.774122695</v>
      </c>
      <c r="E51" s="334">
        <v>190</v>
      </c>
      <c r="F51" s="334">
        <v>3508786.5526169301</v>
      </c>
    </row>
    <row r="52" spans="1:6">
      <c r="A52" s="348" t="s">
        <v>42</v>
      </c>
      <c r="B52" s="348" t="s">
        <v>29</v>
      </c>
      <c r="C52" s="334">
        <v>4</v>
      </c>
      <c r="D52" s="334">
        <v>111357.541205702</v>
      </c>
      <c r="E52" s="334">
        <v>31</v>
      </c>
      <c r="F52" s="334">
        <v>1553925.2292862299</v>
      </c>
    </row>
    <row r="53" spans="1:6">
      <c r="A53" s="348" t="s">
        <v>44</v>
      </c>
      <c r="B53" s="348" t="s">
        <v>45</v>
      </c>
      <c r="C53" s="334">
        <v>33</v>
      </c>
      <c r="D53" s="334">
        <v>519055.49932319799</v>
      </c>
      <c r="E53" s="334">
        <v>119</v>
      </c>
      <c r="F53" s="334">
        <v>431203.05153808399</v>
      </c>
    </row>
    <row r="54" spans="1:6">
      <c r="A54" s="348" t="s">
        <v>46</v>
      </c>
      <c r="B54" s="348" t="s">
        <v>47</v>
      </c>
      <c r="C54" s="334">
        <v>0</v>
      </c>
      <c r="D54" s="334">
        <v>0</v>
      </c>
      <c r="E54" s="334">
        <v>5</v>
      </c>
      <c r="F54" s="334">
        <v>682611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120625.832718837</v>
      </c>
      <c r="E57" s="334">
        <v>65</v>
      </c>
      <c r="F57" s="334">
        <v>554940.47192535806</v>
      </c>
    </row>
    <row r="58" spans="1:6">
      <c r="A58" s="348" t="s">
        <v>49</v>
      </c>
      <c r="B58" s="348" t="s">
        <v>51</v>
      </c>
      <c r="C58" s="334">
        <v>0</v>
      </c>
      <c r="D58" s="334">
        <v>0</v>
      </c>
      <c r="E58" s="334">
        <v>0</v>
      </c>
      <c r="F58" s="334">
        <v>0</v>
      </c>
    </row>
    <row r="59" spans="1:6">
      <c r="A59" s="348" t="s">
        <v>49</v>
      </c>
      <c r="B59" s="348" t="s">
        <v>52</v>
      </c>
      <c r="C59" s="334">
        <v>9</v>
      </c>
      <c r="D59" s="334">
        <v>270332.21642996802</v>
      </c>
      <c r="E59" s="334">
        <v>29</v>
      </c>
      <c r="F59" s="334">
        <v>443557.25669165299</v>
      </c>
    </row>
    <row r="60" spans="1:6">
      <c r="A60" s="348" t="s">
        <v>49</v>
      </c>
      <c r="B60" s="348" t="s">
        <v>53</v>
      </c>
      <c r="C60" s="334">
        <v>19</v>
      </c>
      <c r="D60" s="334">
        <v>1552297.5329342899</v>
      </c>
      <c r="E60" s="334">
        <v>40</v>
      </c>
      <c r="F60" s="334">
        <v>1483988.7662774599</v>
      </c>
    </row>
    <row r="61" spans="1:6">
      <c r="A61" s="348" t="s">
        <v>49</v>
      </c>
      <c r="B61" s="348" t="s">
        <v>54</v>
      </c>
      <c r="C61" s="334">
        <v>17</v>
      </c>
      <c r="D61" s="334">
        <v>1683542.40518076</v>
      </c>
      <c r="E61" s="334">
        <v>36</v>
      </c>
      <c r="F61" s="334">
        <v>504479.98267111898</v>
      </c>
    </row>
    <row r="62" spans="1:6">
      <c r="A62" s="348" t="s">
        <v>49</v>
      </c>
      <c r="B62" s="348" t="s">
        <v>55</v>
      </c>
      <c r="C62" s="334">
        <v>3</v>
      </c>
      <c r="D62" s="334">
        <v>150743.07774130601</v>
      </c>
      <c r="E62" s="334">
        <v>6</v>
      </c>
      <c r="F62" s="334">
        <v>113958.41767812399</v>
      </c>
    </row>
    <row r="63" spans="1:6">
      <c r="A63" s="348" t="s">
        <v>49</v>
      </c>
      <c r="B63" s="348" t="s">
        <v>29</v>
      </c>
      <c r="C63" s="334">
        <v>86</v>
      </c>
      <c r="D63" s="334">
        <v>4155971.2109453399</v>
      </c>
      <c r="E63" s="334">
        <v>156</v>
      </c>
      <c r="F63" s="334">
        <v>1919441.5040514399</v>
      </c>
    </row>
    <row r="64" spans="1:6">
      <c r="A64" s="348" t="s">
        <v>56</v>
      </c>
      <c r="B64" s="348" t="s">
        <v>57</v>
      </c>
      <c r="C64" s="334">
        <v>0</v>
      </c>
      <c r="D64" s="334">
        <v>0</v>
      </c>
      <c r="E64" s="334">
        <v>0</v>
      </c>
      <c r="F64" s="334">
        <v>0</v>
      </c>
    </row>
    <row r="65" spans="1:6">
      <c r="A65" s="348" t="s">
        <v>56</v>
      </c>
      <c r="B65" s="348" t="s">
        <v>29</v>
      </c>
      <c r="C65" s="334">
        <v>1</v>
      </c>
      <c r="D65" s="334">
        <v>41493.208885235399</v>
      </c>
      <c r="E65" s="334">
        <v>7</v>
      </c>
      <c r="F65" s="334">
        <v>65333.089750805899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20423836</v>
      </c>
      <c r="E73" s="476">
        <v>22756024.120253902</v>
      </c>
    </row>
    <row r="74" spans="1:6">
      <c r="A74" s="348" t="s">
        <v>64</v>
      </c>
      <c r="B74" s="348" t="s">
        <v>657</v>
      </c>
      <c r="C74" s="1213" t="s">
        <v>659</v>
      </c>
      <c r="D74" s="476">
        <v>3477978.7986450614</v>
      </c>
      <c r="E74" s="476">
        <v>3620743.2075349069</v>
      </c>
    </row>
    <row r="75" spans="1:6">
      <c r="A75" s="348" t="s">
        <v>65</v>
      </c>
      <c r="B75" s="348" t="s">
        <v>656</v>
      </c>
      <c r="C75" s="1213" t="s">
        <v>660</v>
      </c>
      <c r="D75" s="476">
        <v>19248059</v>
      </c>
      <c r="E75" s="476">
        <v>21170336.545826875</v>
      </c>
    </row>
    <row r="76" spans="1:6">
      <c r="A76" s="348" t="s">
        <v>65</v>
      </c>
      <c r="B76" s="348" t="s">
        <v>657</v>
      </c>
      <c r="C76" s="1213" t="s">
        <v>661</v>
      </c>
      <c r="D76" s="476">
        <v>1670962.7986450614</v>
      </c>
      <c r="E76" s="476">
        <v>1664581.4179835694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59640.402709877017</v>
      </c>
      <c r="C83" s="476">
        <v>59411.397627938895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1992.8903650480804</v>
      </c>
    </row>
    <row r="92" spans="1:6">
      <c r="A92" s="341" t="s">
        <v>69</v>
      </c>
      <c r="B92" s="342">
        <v>546.67350516457577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0</v>
      </c>
    </row>
    <row r="99" spans="1:6">
      <c r="A99" s="348" t="s">
        <v>73</v>
      </c>
      <c r="B99" s="334">
        <v>225</v>
      </c>
    </row>
    <row r="100" spans="1:6">
      <c r="A100" s="348" t="s">
        <v>74</v>
      </c>
      <c r="B100" s="334">
        <v>328</v>
      </c>
    </row>
    <row r="101" spans="1:6">
      <c r="A101" s="348" t="s">
        <v>75</v>
      </c>
      <c r="B101" s="334">
        <v>73</v>
      </c>
    </row>
    <row r="102" spans="1:6">
      <c r="A102" s="348" t="s">
        <v>76</v>
      </c>
      <c r="B102" s="334">
        <v>49</v>
      </c>
    </row>
    <row r="103" spans="1:6">
      <c r="A103" s="348" t="s">
        <v>77</v>
      </c>
      <c r="B103" s="334">
        <v>166</v>
      </c>
    </row>
    <row r="104" spans="1:6">
      <c r="A104" s="348" t="s">
        <v>78</v>
      </c>
      <c r="B104" s="334">
        <v>1016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69</v>
      </c>
    </row>
    <row r="130" spans="1:6">
      <c r="A130" s="348" t="s">
        <v>295</v>
      </c>
      <c r="B130" s="334">
        <v>2</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25847.95788350821</v>
      </c>
      <c r="C3" s="43" t="s">
        <v>170</v>
      </c>
      <c r="D3" s="43"/>
      <c r="E3" s="154"/>
      <c r="F3" s="43"/>
      <c r="G3" s="43"/>
      <c r="H3" s="43"/>
      <c r="I3" s="43"/>
      <c r="J3" s="43"/>
      <c r="K3" s="96"/>
    </row>
    <row r="4" spans="1:11">
      <c r="A4" s="383" t="s">
        <v>171</v>
      </c>
      <c r="B4" s="49">
        <f>IF(ISERROR('SEAP template'!B69),0,'SEAP template'!B69)</f>
        <v>2539.5638702126562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0.19928673283025242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682.61099999999999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682.61099999999999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0.19928673283025242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136.03531598399144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11522.952996076592</v>
      </c>
      <c r="C5" s="17">
        <f>IF(ISERROR('Eigen informatie GS &amp; warmtenet'!B57),0,'Eigen informatie GS &amp; warmtenet'!B57)</f>
        <v>0</v>
      </c>
      <c r="D5" s="30">
        <f>(SUM(HH_hh_gas_kWh,HH_rest_gas_kWh)/1000)*0.902</f>
        <v>20895.665126710723</v>
      </c>
      <c r="E5" s="17">
        <f>B46*B57</f>
        <v>7298.2393060429058</v>
      </c>
      <c r="F5" s="17">
        <f>B51*B62</f>
        <v>10062.777017548617</v>
      </c>
      <c r="G5" s="18"/>
      <c r="H5" s="17"/>
      <c r="I5" s="17"/>
      <c r="J5" s="17">
        <f>B50*B61+C50*C61</f>
        <v>3395.5694869743279</v>
      </c>
      <c r="K5" s="17"/>
      <c r="L5" s="17"/>
      <c r="M5" s="17"/>
      <c r="N5" s="17">
        <f>B48*B59+C48*C59</f>
        <v>8069.5833117927905</v>
      </c>
      <c r="O5" s="17">
        <f>B69*B70*B71</f>
        <v>126.63</v>
      </c>
      <c r="P5" s="17">
        <f>B77*B78*B79/1000-B77*B78*B79/1000/B80</f>
        <v>686.4</v>
      </c>
    </row>
    <row r="6" spans="1:16">
      <c r="A6" s="16" t="s">
        <v>621</v>
      </c>
      <c r="B6" s="843">
        <f>kWh_PV_kleiner_dan_10kW</f>
        <v>1992.8903650480804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13515.843361124673</v>
      </c>
      <c r="C8" s="21">
        <f>C5</f>
        <v>0</v>
      </c>
      <c r="D8" s="21">
        <f>D5</f>
        <v>20895.665126710723</v>
      </c>
      <c r="E8" s="21">
        <f>E5</f>
        <v>7298.2393060429058</v>
      </c>
      <c r="F8" s="21">
        <f>F5</f>
        <v>10062.777017548617</v>
      </c>
      <c r="G8" s="21"/>
      <c r="H8" s="21"/>
      <c r="I8" s="21"/>
      <c r="J8" s="21">
        <f>J5</f>
        <v>3395.5694869743279</v>
      </c>
      <c r="K8" s="21"/>
      <c r="L8" s="21">
        <f>L5</f>
        <v>0</v>
      </c>
      <c r="M8" s="21">
        <f>M5</f>
        <v>0</v>
      </c>
      <c r="N8" s="21">
        <f>N5</f>
        <v>8069.5833117927905</v>
      </c>
      <c r="O8" s="21">
        <f>O5</f>
        <v>126.63</v>
      </c>
      <c r="P8" s="21">
        <f>P5</f>
        <v>686.4</v>
      </c>
    </row>
    <row r="9" spans="1:16">
      <c r="B9" s="19"/>
      <c r="C9" s="19"/>
      <c r="D9" s="258"/>
      <c r="E9" s="19"/>
      <c r="F9" s="19"/>
      <c r="G9" s="19"/>
      <c r="H9" s="19"/>
      <c r="I9" s="19"/>
      <c r="J9" s="19"/>
      <c r="K9" s="19"/>
      <c r="L9" s="19"/>
      <c r="M9" s="19"/>
      <c r="N9" s="19"/>
      <c r="O9" s="19"/>
      <c r="P9" s="19"/>
    </row>
    <row r="10" spans="1:16">
      <c r="A10" s="24" t="s">
        <v>214</v>
      </c>
      <c r="B10" s="25">
        <f ca="1">'EF ele_warmte'!B12</f>
        <v>0.19928673283025242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2693.5282648839934</v>
      </c>
      <c r="C12" s="23">
        <f ca="1">C10*C8</f>
        <v>0</v>
      </c>
      <c r="D12" s="23">
        <f>D8*D10</f>
        <v>4220.9243555955663</v>
      </c>
      <c r="E12" s="23">
        <f>E10*E8</f>
        <v>1656.7003224717396</v>
      </c>
      <c r="F12" s="23">
        <f>F10*F8</f>
        <v>2686.761463685481</v>
      </c>
      <c r="G12" s="23"/>
      <c r="H12" s="23"/>
      <c r="I12" s="23"/>
      <c r="J12" s="23">
        <f>J10*J8</f>
        <v>1202.031598388912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0</v>
      </c>
      <c r="C19" s="166" t="s">
        <v>111</v>
      </c>
      <c r="D19" s="229"/>
      <c r="E19" s="15"/>
    </row>
    <row r="20" spans="1:7">
      <c r="A20" s="171" t="s">
        <v>73</v>
      </c>
      <c r="B20" s="37">
        <f>aantalw2001_propaan</f>
        <v>225</v>
      </c>
      <c r="C20" s="167">
        <f>IF(ISERROR(B20/SUM($B$20,$B$21,$B$22)*100),0,B20/SUM($B$20,$B$21,$B$22)*100)</f>
        <v>35.942492012779553</v>
      </c>
      <c r="D20" s="229"/>
      <c r="E20" s="15"/>
    </row>
    <row r="21" spans="1:7">
      <c r="A21" s="171" t="s">
        <v>74</v>
      </c>
      <c r="B21" s="37">
        <f>aantalw2001_elektriciteit</f>
        <v>328</v>
      </c>
      <c r="C21" s="167">
        <f>IF(ISERROR(B21/SUM($B$20,$B$21,$B$22)*100),0,B21/SUM($B$20,$B$21,$B$22)*100)</f>
        <v>52.396166134185307</v>
      </c>
      <c r="D21" s="229"/>
      <c r="E21" s="15"/>
    </row>
    <row r="22" spans="1:7">
      <c r="A22" s="171" t="s">
        <v>75</v>
      </c>
      <c r="B22" s="37">
        <f>aantalw2001_hout</f>
        <v>73</v>
      </c>
      <c r="C22" s="167">
        <f>IF(ISERROR(B22/SUM($B$20,$B$21,$B$22)*100),0,B22/SUM($B$20,$B$21,$B$22)*100)</f>
        <v>11.661341853035143</v>
      </c>
      <c r="D22" s="229"/>
      <c r="E22" s="15"/>
    </row>
    <row r="23" spans="1:7">
      <c r="A23" s="171" t="s">
        <v>76</v>
      </c>
      <c r="B23" s="37">
        <f>aantalw2001_niet_gespec</f>
        <v>49</v>
      </c>
      <c r="C23" s="166" t="s">
        <v>111</v>
      </c>
      <c r="D23" s="228"/>
      <c r="E23" s="15"/>
    </row>
    <row r="24" spans="1:7">
      <c r="A24" s="171" t="s">
        <v>77</v>
      </c>
      <c r="B24" s="37">
        <f>aantalw2001_steenkool</f>
        <v>166</v>
      </c>
      <c r="C24" s="166" t="s">
        <v>111</v>
      </c>
      <c r="D24" s="229"/>
      <c r="E24" s="15"/>
    </row>
    <row r="25" spans="1:7">
      <c r="A25" s="171" t="s">
        <v>78</v>
      </c>
      <c r="B25" s="37">
        <f>aantalw2001_stookolie</f>
        <v>1016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2866</v>
      </c>
      <c r="C28" s="36"/>
      <c r="D28" s="228"/>
    </row>
    <row r="29" spans="1:7" s="15" customFormat="1">
      <c r="A29" s="230" t="s">
        <v>795</v>
      </c>
      <c r="B29" s="37">
        <f>SUM(HH_hh_gas_aantal,HH_rest_gas_aantal)</f>
        <v>1386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1386</v>
      </c>
      <c r="C32" s="167">
        <f>IF(ISERROR(B32/SUM($B$32,$B$34,$B$35,$B$36,$B$38,$B$39)*100),0,B32/SUM($B$32,$B$34,$B$35,$B$36,$B$38,$B$39)*100)</f>
        <v>48.975265017667844</v>
      </c>
      <c r="D32" s="233"/>
      <c r="G32" s="15"/>
    </row>
    <row r="33" spans="1:7">
      <c r="A33" s="171" t="s">
        <v>72</v>
      </c>
      <c r="B33" s="34" t="s">
        <v>111</v>
      </c>
      <c r="C33" s="167"/>
      <c r="D33" s="233"/>
      <c r="G33" s="15"/>
    </row>
    <row r="34" spans="1:7">
      <c r="A34" s="171" t="s">
        <v>73</v>
      </c>
      <c r="B34" s="33">
        <f>IF((($B$28-$B$32-$B$39-$B$77-$B$38)*C20/100)&lt;0,0,($B$28-$B$32-$B$39-$B$77-$B$38)*C20/100)</f>
        <v>344.68849840255598</v>
      </c>
      <c r="C34" s="167">
        <f>IF(ISERROR(B34/SUM($B$32,$B$34,$B$35,$B$36,$B$38,$B$39)*100),0,B34/SUM($B$32,$B$34,$B$35,$B$36,$B$38,$B$39)*100)</f>
        <v>12.179805597263464</v>
      </c>
      <c r="D34" s="233"/>
      <c r="G34" s="15"/>
    </row>
    <row r="35" spans="1:7">
      <c r="A35" s="171" t="s">
        <v>74</v>
      </c>
      <c r="B35" s="33">
        <f>IF((($B$28-$B$32-$B$39-$B$77-$B$38)*C21/100)&lt;0,0,($B$28-$B$32-$B$39-$B$77-$B$38)*C21/100)</f>
        <v>502.47923322683727</v>
      </c>
      <c r="C35" s="167">
        <f>IF(ISERROR(B35/SUM($B$32,$B$34,$B$35,$B$36,$B$38,$B$39)*100),0,B35/SUM($B$32,$B$34,$B$35,$B$36,$B$38,$B$39)*100)</f>
        <v>17.755449937344071</v>
      </c>
      <c r="D35" s="233"/>
      <c r="G35" s="15"/>
    </row>
    <row r="36" spans="1:7">
      <c r="A36" s="171" t="s">
        <v>75</v>
      </c>
      <c r="B36" s="33">
        <f>IF((($B$28-$B$32-$B$39-$B$77-$B$38)*C22/100)&lt;0,0,($B$28-$B$32-$B$39-$B$77-$B$38)*C22/100)</f>
        <v>111.83226837060705</v>
      </c>
      <c r="C36" s="167">
        <f>IF(ISERROR(B36/SUM($B$32,$B$34,$B$35,$B$36,$B$38,$B$39)*100),0,B36/SUM($B$32,$B$34,$B$35,$B$36,$B$38,$B$39)*100)</f>
        <v>3.9516702604454794</v>
      </c>
      <c r="D36" s="233"/>
      <c r="G36" s="15"/>
    </row>
    <row r="37" spans="1:7">
      <c r="A37" s="171" t="s">
        <v>76</v>
      </c>
      <c r="B37" s="34" t="s">
        <v>111</v>
      </c>
      <c r="C37" s="167"/>
      <c r="D37" s="173"/>
      <c r="G37" s="15"/>
    </row>
    <row r="38" spans="1:7">
      <c r="A38" s="171" t="s">
        <v>77</v>
      </c>
      <c r="B38" s="33">
        <f>IF((B24-(B29-B18)*0.1)&lt;0,0,B24-(B29-B18)*0.1)</f>
        <v>96.3</v>
      </c>
      <c r="C38" s="167">
        <f>IF(ISERROR(B38/SUM($B$32,$B$34,$B$35,$B$36,$B$38,$B$39)*100),0,B38/SUM($B$32,$B$34,$B$35,$B$36,$B$38,$B$39)*100)</f>
        <v>3.4028268551236751</v>
      </c>
      <c r="D38" s="234"/>
      <c r="G38" s="15"/>
    </row>
    <row r="39" spans="1:7">
      <c r="A39" s="171" t="s">
        <v>78</v>
      </c>
      <c r="B39" s="33">
        <f>IF((B25-(B29-B18))&lt;0,0,B25-(B29-B18)*0.9)</f>
        <v>388.69999999999993</v>
      </c>
      <c r="C39" s="167">
        <f>IF(ISERROR(B39/SUM($B$32,$B$34,$B$35,$B$36,$B$38,$B$39)*100),0,B39/SUM($B$32,$B$34,$B$35,$B$36,$B$38,$B$39)*100)</f>
        <v>13.734982332155473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1386</v>
      </c>
      <c r="C44" s="34" t="s">
        <v>111</v>
      </c>
      <c r="D44" s="174"/>
    </row>
    <row r="45" spans="1:7">
      <c r="A45" s="171" t="s">
        <v>72</v>
      </c>
      <c r="B45" s="33" t="str">
        <f t="shared" si="0"/>
        <v>-</v>
      </c>
      <c r="C45" s="34" t="s">
        <v>111</v>
      </c>
      <c r="D45" s="174"/>
    </row>
    <row r="46" spans="1:7">
      <c r="A46" s="171" t="s">
        <v>73</v>
      </c>
      <c r="B46" s="33">
        <f t="shared" si="0"/>
        <v>344.68849840255598</v>
      </c>
      <c r="C46" s="34" t="s">
        <v>111</v>
      </c>
      <c r="D46" s="174"/>
    </row>
    <row r="47" spans="1:7">
      <c r="A47" s="171" t="s">
        <v>74</v>
      </c>
      <c r="B47" s="33">
        <f t="shared" si="0"/>
        <v>502.47923322683727</v>
      </c>
      <c r="C47" s="34" t="s">
        <v>111</v>
      </c>
      <c r="D47" s="174"/>
    </row>
    <row r="48" spans="1:7">
      <c r="A48" s="171" t="s">
        <v>75</v>
      </c>
      <c r="B48" s="33">
        <f t="shared" si="0"/>
        <v>111.83226837060705</v>
      </c>
      <c r="C48" s="33">
        <f>B48*10</f>
        <v>1118.3226837060706</v>
      </c>
      <c r="D48" s="234"/>
    </row>
    <row r="49" spans="1:6">
      <c r="A49" s="171" t="s">
        <v>76</v>
      </c>
      <c r="B49" s="33" t="str">
        <f t="shared" si="0"/>
        <v>-</v>
      </c>
      <c r="C49" s="34" t="s">
        <v>111</v>
      </c>
      <c r="D49" s="234"/>
    </row>
    <row r="50" spans="1:6">
      <c r="A50" s="171" t="s">
        <v>77</v>
      </c>
      <c r="B50" s="33">
        <f t="shared" si="0"/>
        <v>96.3</v>
      </c>
      <c r="C50" s="33">
        <f>B50*2</f>
        <v>192.6</v>
      </c>
      <c r="D50" s="234"/>
    </row>
    <row r="51" spans="1:6">
      <c r="A51" s="171" t="s">
        <v>78</v>
      </c>
      <c r="B51" s="33">
        <f t="shared" si="0"/>
        <v>388.69999999999993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5020.3663992951533</v>
      </c>
      <c r="C5" s="17">
        <f>IF(ISERROR('Eigen informatie GS &amp; warmtenet'!B58),0,'Eigen informatie GS &amp; warmtenet'!B58)</f>
        <v>0</v>
      </c>
      <c r="D5" s="30">
        <f>SUM(D6:D12)</f>
        <v>7156.028072907352</v>
      </c>
      <c r="E5" s="17">
        <f>SUM(E6:E12)</f>
        <v>63.557909795782962</v>
      </c>
      <c r="F5" s="17">
        <f>SUM(F6:F12)</f>
        <v>846.24805998970533</v>
      </c>
      <c r="G5" s="18"/>
      <c r="H5" s="17"/>
      <c r="I5" s="17"/>
      <c r="J5" s="17">
        <f>SUM(J6:J12)</f>
        <v>1.6693558380994941E-2</v>
      </c>
      <c r="K5" s="17"/>
      <c r="L5" s="17"/>
      <c r="M5" s="17"/>
      <c r="N5" s="17">
        <f>SUM(N6:N12)</f>
        <v>658.94683773123143</v>
      </c>
      <c r="O5" s="17">
        <f>B38*B39*B40</f>
        <v>3.1266666666666669</v>
      </c>
      <c r="P5" s="17">
        <f>B46*B47*B48/1000-B46*B47*B48/1000/B49</f>
        <v>38.133333333333333</v>
      </c>
      <c r="R5" s="32"/>
    </row>
    <row r="6" spans="1:18">
      <c r="A6" s="32" t="s">
        <v>54</v>
      </c>
      <c r="B6" s="37">
        <f>B26</f>
        <v>504.47998267111899</v>
      </c>
      <c r="C6" s="33"/>
      <c r="D6" s="37">
        <f>IF(ISERROR(TER_kantoor_gas_kWh/1000),0,TER_kantoor_gas_kWh/1000)*0.902</f>
        <v>1518.5552494730455</v>
      </c>
      <c r="E6" s="33">
        <f>$C$26*'E Balans VL '!I12/100/3.6*1000000</f>
        <v>3.1619127439689635E-3</v>
      </c>
      <c r="F6" s="33">
        <f>$C$26*('E Balans VL '!L12+'E Balans VL '!N12)/100/3.6*1000000</f>
        <v>75.809244880315674</v>
      </c>
      <c r="G6" s="34"/>
      <c r="H6" s="33"/>
      <c r="I6" s="33"/>
      <c r="J6" s="33">
        <f>$C$26*('E Balans VL '!D12+'E Balans VL '!E12)/100/3.6*1000000</f>
        <v>0</v>
      </c>
      <c r="K6" s="33"/>
      <c r="L6" s="33"/>
      <c r="M6" s="33"/>
      <c r="N6" s="33">
        <f>$C$26*'E Balans VL '!Y12/100/3.6*1000000</f>
        <v>0.48246030605891976</v>
      </c>
      <c r="O6" s="33"/>
      <c r="P6" s="33"/>
      <c r="R6" s="32"/>
    </row>
    <row r="7" spans="1:18">
      <c r="A7" s="32" t="s">
        <v>53</v>
      </c>
      <c r="B7" s="37">
        <f t="shared" ref="B7:B12" si="0">B27</f>
        <v>1483.9887662774599</v>
      </c>
      <c r="C7" s="33"/>
      <c r="D7" s="37">
        <f>IF(ISERROR(TER_horeca_gas_kWh/1000),0,TER_horeca_gas_kWh/1000)*0.902</f>
        <v>1400.1723747067294</v>
      </c>
      <c r="E7" s="33">
        <f>$C$27*'E Balans VL '!I9/100/3.6*1000000</f>
        <v>21.250471947751979</v>
      </c>
      <c r="F7" s="33">
        <f>$C$27*('E Balans VL '!L9+'E Balans VL '!N9)/100/3.6*1000000</f>
        <v>187.92192164584179</v>
      </c>
      <c r="G7" s="34"/>
      <c r="H7" s="33"/>
      <c r="I7" s="33"/>
      <c r="J7" s="33">
        <f>$C$27*('E Balans VL '!D9+'E Balans VL '!E9)/100/3.6*1000000</f>
        <v>0</v>
      </c>
      <c r="K7" s="33"/>
      <c r="L7" s="33"/>
      <c r="M7" s="33"/>
      <c r="N7" s="33">
        <f>$C$27*'E Balans VL '!Y9/100/3.6*1000000</f>
        <v>0.4266140511610737</v>
      </c>
      <c r="O7" s="33"/>
      <c r="P7" s="33"/>
      <c r="R7" s="32"/>
    </row>
    <row r="8" spans="1:18">
      <c r="A8" s="6" t="s">
        <v>52</v>
      </c>
      <c r="B8" s="37">
        <f t="shared" si="0"/>
        <v>443.55725669165298</v>
      </c>
      <c r="C8" s="33"/>
      <c r="D8" s="37">
        <f>IF(ISERROR(TER_handel_gas_kWh/1000),0,TER_handel_gas_kWh/1000)*0.902</f>
        <v>243.83965921983116</v>
      </c>
      <c r="E8" s="33">
        <f>$C$28*'E Balans VL '!I13/100/3.6*1000000</f>
        <v>16.08776700317587</v>
      </c>
      <c r="F8" s="33">
        <f>$C$28*('E Balans VL '!L13+'E Balans VL '!N13)/100/3.6*1000000</f>
        <v>85.43361894158447</v>
      </c>
      <c r="G8" s="34"/>
      <c r="H8" s="33"/>
      <c r="I8" s="33"/>
      <c r="J8" s="33">
        <f>$C$28*('E Balans VL '!D13+'E Balans VL '!E13)/100/3.6*1000000</f>
        <v>0</v>
      </c>
      <c r="K8" s="33"/>
      <c r="L8" s="33"/>
      <c r="M8" s="33"/>
      <c r="N8" s="33">
        <f>$C$28*'E Balans VL '!Y13/100/3.6*1000000</f>
        <v>0.61442885849105489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554.94047192535811</v>
      </c>
      <c r="C10" s="33"/>
      <c r="D10" s="37">
        <f>IF(ISERROR(TER_ander_gas_kWh/1000),0,TER_ander_gas_kWh/1000)*0.902</f>
        <v>108.80450111239098</v>
      </c>
      <c r="E10" s="33">
        <f>$C$30*'E Balans VL '!I14/100/3.6*1000000</f>
        <v>0.66146921231327904</v>
      </c>
      <c r="F10" s="33">
        <f>$C$30*('E Balans VL '!L14+'E Balans VL '!N14)/100/3.6*1000000</f>
        <v>145.19709817133997</v>
      </c>
      <c r="G10" s="34"/>
      <c r="H10" s="33"/>
      <c r="I10" s="33"/>
      <c r="J10" s="33">
        <f>$C$30*('E Balans VL '!D14+'E Balans VL '!E14)/100/3.6*1000000</f>
        <v>1.2045582338914056E-2</v>
      </c>
      <c r="K10" s="33"/>
      <c r="L10" s="33"/>
      <c r="M10" s="33"/>
      <c r="N10" s="33">
        <f>$C$30*'E Balans VL '!Y14/100/3.6*1000000</f>
        <v>471.24186955680699</v>
      </c>
      <c r="O10" s="33"/>
      <c r="P10" s="33"/>
      <c r="R10" s="32"/>
    </row>
    <row r="11" spans="1:18">
      <c r="A11" s="32" t="s">
        <v>55</v>
      </c>
      <c r="B11" s="37">
        <f t="shared" si="0"/>
        <v>113.95841767812399</v>
      </c>
      <c r="C11" s="33"/>
      <c r="D11" s="37">
        <f>IF(ISERROR(TER_onderwijs_gas_kWh/1000),0,TER_onderwijs_gas_kWh/1000)*0.902</f>
        <v>135.97025612265804</v>
      </c>
      <c r="E11" s="33">
        <f>$C$31*'E Balans VL '!I11/100/3.6*1000000</f>
        <v>1.7194489752777466</v>
      </c>
      <c r="F11" s="33">
        <f>$C$31*('E Balans VL '!L11+'E Balans VL '!N11)/100/3.6*1000000</f>
        <v>19.967335317090189</v>
      </c>
      <c r="G11" s="34"/>
      <c r="H11" s="33"/>
      <c r="I11" s="33"/>
      <c r="J11" s="33">
        <f>$C$31*('E Balans VL '!D11+'E Balans VL '!E11)/100/3.6*1000000</f>
        <v>0</v>
      </c>
      <c r="K11" s="33"/>
      <c r="L11" s="33"/>
      <c r="M11" s="33"/>
      <c r="N11" s="33">
        <f>$C$31*'E Balans VL '!Y11/100/3.6*1000000</f>
        <v>0.32068765079507316</v>
      </c>
      <c r="O11" s="33"/>
      <c r="P11" s="33"/>
      <c r="R11" s="32"/>
    </row>
    <row r="12" spans="1:18">
      <c r="A12" s="32" t="s">
        <v>260</v>
      </c>
      <c r="B12" s="37">
        <f t="shared" si="0"/>
        <v>1919.44150405144</v>
      </c>
      <c r="C12" s="33"/>
      <c r="D12" s="37">
        <f>IF(ISERROR(TER_rest_gas_kWh/1000),0,TER_rest_gas_kWh/1000)*0.902</f>
        <v>3748.686032272697</v>
      </c>
      <c r="E12" s="33">
        <f>$C$32*'E Balans VL '!I8/100/3.6*1000000</f>
        <v>23.835590744520108</v>
      </c>
      <c r="F12" s="33">
        <f>$C$32*('E Balans VL '!L8+'E Balans VL '!N8)/100/3.6*1000000</f>
        <v>331.91884103353323</v>
      </c>
      <c r="G12" s="34"/>
      <c r="H12" s="33"/>
      <c r="I12" s="33"/>
      <c r="J12" s="33">
        <f>$C$32*('E Balans VL '!D8+'E Balans VL '!E8)/100/3.6*1000000</f>
        <v>4.6479760420808846E-3</v>
      </c>
      <c r="K12" s="33"/>
      <c r="L12" s="33"/>
      <c r="M12" s="33"/>
      <c r="N12" s="33">
        <f>$C$32*'E Balans VL '!Y8/100/3.6*1000000</f>
        <v>185.86077730791823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5020.3663992951533</v>
      </c>
      <c r="C16" s="21">
        <f t="shared" ca="1" si="1"/>
        <v>0</v>
      </c>
      <c r="D16" s="21">
        <f t="shared" ca="1" si="1"/>
        <v>7156.028072907352</v>
      </c>
      <c r="E16" s="21">
        <f t="shared" si="1"/>
        <v>63.557909795782962</v>
      </c>
      <c r="F16" s="21">
        <f t="shared" ca="1" si="1"/>
        <v>846.24805998970533</v>
      </c>
      <c r="G16" s="21">
        <f t="shared" si="1"/>
        <v>0</v>
      </c>
      <c r="H16" s="21">
        <f t="shared" si="1"/>
        <v>0</v>
      </c>
      <c r="I16" s="21">
        <f t="shared" si="1"/>
        <v>0</v>
      </c>
      <c r="J16" s="21">
        <f t="shared" si="1"/>
        <v>1.6693558380994941E-2</v>
      </c>
      <c r="K16" s="21">
        <f t="shared" si="1"/>
        <v>0</v>
      </c>
      <c r="L16" s="21">
        <f t="shared" ca="1" si="1"/>
        <v>0</v>
      </c>
      <c r="M16" s="21">
        <f t="shared" si="1"/>
        <v>0</v>
      </c>
      <c r="N16" s="21">
        <f t="shared" ca="1" si="1"/>
        <v>658.94683773123143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0.19928673283025242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1000.4924173263096</v>
      </c>
      <c r="C20" s="23">
        <f t="shared" ref="C20:P20" ca="1" si="2">C16*C18</f>
        <v>0</v>
      </c>
      <c r="D20" s="23">
        <f t="shared" ca="1" si="2"/>
        <v>1445.5176707272851</v>
      </c>
      <c r="E20" s="23">
        <f t="shared" si="2"/>
        <v>14.427645523642733</v>
      </c>
      <c r="F20" s="23">
        <f t="shared" ca="1" si="2"/>
        <v>225.94823201725134</v>
      </c>
      <c r="G20" s="23">
        <f t="shared" si="2"/>
        <v>0</v>
      </c>
      <c r="H20" s="23">
        <f t="shared" si="2"/>
        <v>0</v>
      </c>
      <c r="I20" s="23">
        <f t="shared" si="2"/>
        <v>0</v>
      </c>
      <c r="J20" s="23">
        <f t="shared" si="2"/>
        <v>5.9095196668722087E-3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504.47998267111899</v>
      </c>
      <c r="C26" s="39">
        <f>IF(ISERROR(B26*3.6/1000000/'E Balans VL '!Z12*100),0,B26*3.6/1000000/'E Balans VL '!Z12*100)</f>
        <v>1.0663907672822631E-2</v>
      </c>
      <c r="D26" s="237" t="s">
        <v>754</v>
      </c>
      <c r="F26" s="6"/>
    </row>
    <row r="27" spans="1:18">
      <c r="A27" s="231" t="s">
        <v>53</v>
      </c>
      <c r="B27" s="33">
        <f>IF(ISERROR(TER_horeca_ele_kWh/1000),0,TER_horeca_ele_kWh/1000)</f>
        <v>1483.9887662774599</v>
      </c>
      <c r="C27" s="39">
        <f>IF(ISERROR(B27*3.6/1000000/'E Balans VL '!Z9*100),0,B27*3.6/1000000/'E Balans VL '!Z9*100)</f>
        <v>0.11698228133480165</v>
      </c>
      <c r="D27" s="237" t="s">
        <v>754</v>
      </c>
      <c r="F27" s="6"/>
    </row>
    <row r="28" spans="1:18">
      <c r="A28" s="171" t="s">
        <v>52</v>
      </c>
      <c r="B28" s="33">
        <f>IF(ISERROR(TER_handel_ele_kWh/1000),0,TER_handel_ele_kWh/1000)</f>
        <v>443.55725669165298</v>
      </c>
      <c r="C28" s="39">
        <f>IF(ISERROR(B28*3.6/1000000/'E Balans VL '!Z13*100),0,B28*3.6/1000000/'E Balans VL '!Z13*100)</f>
        <v>1.2873823761332632E-2</v>
      </c>
      <c r="D28" s="237" t="s">
        <v>754</v>
      </c>
      <c r="F28" s="6"/>
    </row>
    <row r="29" spans="1:18">
      <c r="A29" s="231" t="s">
        <v>51</v>
      </c>
      <c r="B29" s="33">
        <f>IF(ISERROR(TER_gezond_ele_kWh/1000),0,TER_gezond_ele_kWh/1000)</f>
        <v>0</v>
      </c>
      <c r="C29" s="39">
        <f>IF(ISERROR(B29*3.6/1000000/'E Balans VL '!Z10*100),0,B29*3.6/1000000/'E Balans VL '!Z10*100)</f>
        <v>0</v>
      </c>
      <c r="D29" s="237" t="s">
        <v>754</v>
      </c>
      <c r="F29" s="6"/>
    </row>
    <row r="30" spans="1:18">
      <c r="A30" s="231" t="s">
        <v>50</v>
      </c>
      <c r="B30" s="33">
        <f>IF(ISERROR(TER_ander_ele_kWh/1000),0,TER_ander_ele_kWh/1000)</f>
        <v>554.94047192535811</v>
      </c>
      <c r="C30" s="39">
        <f>IF(ISERROR(B30*3.6/1000000/'E Balans VL '!Z14*100),0,B30*3.6/1000000/'E Balans VL '!Z14*100)</f>
        <v>4.0932529741685347E-2</v>
      </c>
      <c r="D30" s="237" t="s">
        <v>754</v>
      </c>
      <c r="F30" s="6"/>
    </row>
    <row r="31" spans="1:18">
      <c r="A31" s="231" t="s">
        <v>55</v>
      </c>
      <c r="B31" s="33">
        <f>IF(ISERROR(TER_onderwijs_ele_kWh/1000),0,TER_onderwijs_ele_kWh/1000)</f>
        <v>113.95841767812399</v>
      </c>
      <c r="C31" s="39">
        <f>IF(ISERROR(B31*3.6/1000000/'E Balans VL '!Z11*100),0,B31*3.6/1000000/'E Balans VL '!Z11*100)</f>
        <v>2.8301213236135509E-2</v>
      </c>
      <c r="D31" s="237" t="s">
        <v>754</v>
      </c>
    </row>
    <row r="32" spans="1:18">
      <c r="A32" s="231" t="s">
        <v>260</v>
      </c>
      <c r="B32" s="33">
        <f>IF(ISERROR(TER_rest_ele_kWh/1000),0,TER_rest_ele_kWh/1000)</f>
        <v>1919.44150405144</v>
      </c>
      <c r="C32" s="39">
        <f>IF(ISERROR(B32*3.6/1000000/'E Balans VL '!Z8*100),0,B32*3.6/1000000/'E Balans VL '!Z8*100)</f>
        <v>1.5794455778737275E-2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1550.818286240564</v>
      </c>
      <c r="C5" s="17">
        <f>IF(ISERROR('Eigen informatie GS &amp; warmtenet'!B59),0,'Eigen informatie GS &amp; warmtenet'!B59)</f>
        <v>0</v>
      </c>
      <c r="D5" s="30">
        <f>SUM(D6:D15)</f>
        <v>782.75815895435539</v>
      </c>
      <c r="E5" s="17">
        <f>SUM(E6:E15)</f>
        <v>171.3281810051696</v>
      </c>
      <c r="F5" s="17">
        <f>SUM(F6:F15)</f>
        <v>536.36585335876862</v>
      </c>
      <c r="G5" s="18"/>
      <c r="H5" s="17"/>
      <c r="I5" s="17"/>
      <c r="J5" s="17">
        <f>SUM(J6:J15)</f>
        <v>2.8266130281089028</v>
      </c>
      <c r="K5" s="17"/>
      <c r="L5" s="17"/>
      <c r="M5" s="17"/>
      <c r="N5" s="17">
        <f>SUM(N6:N15)</f>
        <v>401.22779630700018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433.92117287779001</v>
      </c>
      <c r="C9" s="33"/>
      <c r="D9" s="37">
        <f>IF( ISERROR(IND_andere_gas_kWh/1000),0,IND_andere_gas_kWh/1000)*0.902</f>
        <v>198.10664619392662</v>
      </c>
      <c r="E9" s="33">
        <f>C31*'E Balans VL '!I19/100/3.6*1000000</f>
        <v>126.84360628104311</v>
      </c>
      <c r="F9" s="33">
        <f>C31*'E Balans VL '!L19/100/3.6*1000000+C31*'E Balans VL '!N19/100/3.6*1000000</f>
        <v>348.68850722211505</v>
      </c>
      <c r="G9" s="34"/>
      <c r="H9" s="33"/>
      <c r="I9" s="33"/>
      <c r="J9" s="40">
        <f>C31*'E Balans VL '!D19/100/3.6*1000000+C31*'E Balans VL '!E19/100/3.6*1000000</f>
        <v>0</v>
      </c>
      <c r="K9" s="33"/>
      <c r="L9" s="33"/>
      <c r="M9" s="33"/>
      <c r="N9" s="33">
        <f>C31*'E Balans VL '!Y19/100/3.6*1000000</f>
        <v>143.37428515908127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306.24817584137395</v>
      </c>
      <c r="C11" s="33"/>
      <c r="D11" s="37">
        <f>IF( ISERROR(IND_textiel_gas_kWh/1000),0,IND_textiel_gas_kWh/1000)*0.902</f>
        <v>0</v>
      </c>
      <c r="E11" s="33">
        <f>C33*'E Balans VL '!I21/100/3.6*1000000</f>
        <v>0.90953067858021397</v>
      </c>
      <c r="F11" s="33">
        <f>C33*'E Balans VL '!L21/100/3.6*1000000+C33*'E Balans VL '!N21/100/3.6*1000000</f>
        <v>30.939473533110821</v>
      </c>
      <c r="G11" s="34"/>
      <c r="H11" s="33"/>
      <c r="I11" s="33"/>
      <c r="J11" s="40">
        <f>C33*'E Balans VL '!D21/100/3.6*1000000+C33*'E Balans VL '!E21/100/3.6*1000000</f>
        <v>0</v>
      </c>
      <c r="K11" s="33"/>
      <c r="L11" s="33"/>
      <c r="M11" s="33"/>
      <c r="N11" s="33">
        <f>C33*'E Balans VL '!Y21/100/3.6*1000000</f>
        <v>16.890564244069694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22.0401942147071</v>
      </c>
      <c r="C13" s="33"/>
      <c r="D13" s="37">
        <f>IF( ISERROR(IND_papier_gas_kWh/1000),0,IND_papier_gas_kWh/1000)*0.902</f>
        <v>0</v>
      </c>
      <c r="E13" s="33">
        <f>C35*'E Balans VL '!I23/100/3.6*1000000</f>
        <v>3.1269995037382189E-2</v>
      </c>
      <c r="F13" s="33">
        <f>C35*'E Balans VL '!L23/100/3.6*1000000+C35*'E Balans VL '!N23/100/3.6*1000000</f>
        <v>0.53808401725465926</v>
      </c>
      <c r="G13" s="34"/>
      <c r="H13" s="33"/>
      <c r="I13" s="33"/>
      <c r="J13" s="40">
        <f>C35*'E Balans VL '!D23/100/3.6*1000000+C35*'E Balans VL '!E23/100/3.6*1000000</f>
        <v>3.4087229612572816E-3</v>
      </c>
      <c r="K13" s="33"/>
      <c r="L13" s="33"/>
      <c r="M13" s="33"/>
      <c r="N13" s="33">
        <f>C35*'E Balans VL '!Y23/100/3.6*1000000</f>
        <v>64.065627309826425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788.60874330669299</v>
      </c>
      <c r="C15" s="33"/>
      <c r="D15" s="37">
        <f>IF( ISERROR(IND_rest_gas_kWh/1000),0,IND_rest_gas_kWh/1000)*0.902</f>
        <v>584.65151276042877</v>
      </c>
      <c r="E15" s="33">
        <f>C37*'E Balans VL '!I15/100/3.6*1000000</f>
        <v>43.543774050508894</v>
      </c>
      <c r="F15" s="33">
        <f>C37*'E Balans VL '!L15/100/3.6*1000000+C37*'E Balans VL '!N15/100/3.6*1000000</f>
        <v>156.19978858628804</v>
      </c>
      <c r="G15" s="34"/>
      <c r="H15" s="33"/>
      <c r="I15" s="33"/>
      <c r="J15" s="40">
        <f>C37*'E Balans VL '!D15/100/3.6*1000000+C37*'E Balans VL '!E15/100/3.6*1000000</f>
        <v>2.8232043051476454</v>
      </c>
      <c r="K15" s="33"/>
      <c r="L15" s="33"/>
      <c r="M15" s="33"/>
      <c r="N15" s="33">
        <f>C37*'E Balans VL '!Y15/100/3.6*1000000</f>
        <v>176.89731959402278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1550.818286240564</v>
      </c>
      <c r="C18" s="21">
        <f>C5+C16</f>
        <v>0</v>
      </c>
      <c r="D18" s="21">
        <f>MAX((D5+D16),0)</f>
        <v>782.75815895435539</v>
      </c>
      <c r="E18" s="21">
        <f>MAX((E5+E16),0)</f>
        <v>171.3281810051696</v>
      </c>
      <c r="F18" s="21">
        <f>MAX((F5+F16),0)</f>
        <v>536.36585335876862</v>
      </c>
      <c r="G18" s="21"/>
      <c r="H18" s="21"/>
      <c r="I18" s="21"/>
      <c r="J18" s="21">
        <f>MAX((J5+J16),0)</f>
        <v>2.8266130281089028</v>
      </c>
      <c r="K18" s="21"/>
      <c r="L18" s="21">
        <f>MAX((L5+L16),0)</f>
        <v>0</v>
      </c>
      <c r="M18" s="21"/>
      <c r="N18" s="21">
        <f>MAX((N5+N16),0)</f>
        <v>401.22779630700018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0.19928673283025242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309.05750947829318</v>
      </c>
      <c r="C22" s="23">
        <f ca="1">C18*C20</f>
        <v>0</v>
      </c>
      <c r="D22" s="23">
        <f>D18*D20</f>
        <v>158.11714810877979</v>
      </c>
      <c r="E22" s="23">
        <f>E18*E20</f>
        <v>38.891497088173502</v>
      </c>
      <c r="F22" s="23">
        <f>F18*F20</f>
        <v>143.20968284679122</v>
      </c>
      <c r="G22" s="23"/>
      <c r="H22" s="23"/>
      <c r="I22" s="23"/>
      <c r="J22" s="23">
        <f>J18*J20</f>
        <v>1.0006210119505516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433.92117287779001</v>
      </c>
      <c r="C31" s="39">
        <f>IF(ISERROR(B31*3.6/1000000/'E Balans VL '!Z19*100),0,B31*3.6/1000000/'E Balans VL '!Z19*100)</f>
        <v>1.9680857585419778E-2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306.24817584137395</v>
      </c>
      <c r="C33" s="39">
        <f>IF(ISERROR(B33*3.6/1000000/'E Balans VL '!Z21*100),0,B33*3.6/1000000/'E Balans VL '!Z21*100)</f>
        <v>3.9931358007902346E-2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22.0401942147071</v>
      </c>
      <c r="C35" s="39">
        <f>IF(ISERROR(B35*3.6/1000000/'E Balans VL '!Z22*100),0,B35*3.6/1000000/'E Balans VL '!Z22*100)</f>
        <v>3.9643432930858711E-3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788.60874330669299</v>
      </c>
      <c r="C37" s="39">
        <f>IF(ISERROR(B37*3.6/1000000/'E Balans VL '!Z15*100),0,B37*3.6/1000000/'E Balans VL '!Z15*100)</f>
        <v>6.2506927943516812E-3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5062.71178190316</v>
      </c>
      <c r="C5" s="17">
        <f>'Eigen informatie GS &amp; warmtenet'!B60</f>
        <v>0</v>
      </c>
      <c r="D5" s="30">
        <f>IF(ISERROR(SUM(LB_lb_gas_kWh,LB_rest_gas_kWh,onbekend_gas_kWh)/1000),0,SUM(LB_lb_gas_kWh,LB_rest_gas_kWh,onbekend_gas_kWh)/1000)*0.902</f>
        <v>739.99702481573865</v>
      </c>
      <c r="E5" s="17">
        <f>B17*'E Balans VL '!I25/3.6*1000000/100</f>
        <v>148.80856257671383</v>
      </c>
      <c r="F5" s="17">
        <f>B17*('E Balans VL '!L25/3.6*1000000+'E Balans VL '!N25/3.6*1000000)/100</f>
        <v>21090.983708823162</v>
      </c>
      <c r="G5" s="18"/>
      <c r="H5" s="17"/>
      <c r="I5" s="17"/>
      <c r="J5" s="17">
        <f>('E Balans VL '!D25+'E Balans VL '!E25)/3.6*1000000*landbouw!B17/100</f>
        <v>733.47821421771164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5062.71178190316</v>
      </c>
      <c r="C8" s="21">
        <f>C5+C6</f>
        <v>0</v>
      </c>
      <c r="D8" s="21">
        <f>MAX((D5+D6),0)</f>
        <v>739.99702481573865</v>
      </c>
      <c r="E8" s="21">
        <f>MAX((E5+E6),0)</f>
        <v>148.80856257671383</v>
      </c>
      <c r="F8" s="21">
        <f>MAX((F5+F6),0)</f>
        <v>21090.983708823162</v>
      </c>
      <c r="G8" s="21"/>
      <c r="H8" s="21"/>
      <c r="I8" s="21"/>
      <c r="J8" s="21">
        <f>MAX((J5+J6),0)</f>
        <v>733.47821421771164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0.19928673283025242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1008.9312902767062</v>
      </c>
      <c r="C12" s="23">
        <f ca="1">C8*C10</f>
        <v>0</v>
      </c>
      <c r="D12" s="23">
        <f>D8*D10</f>
        <v>149.47939901277923</v>
      </c>
      <c r="E12" s="23">
        <f>E8*E10</f>
        <v>33.77954370491404</v>
      </c>
      <c r="F12" s="23">
        <f>F8*F10</f>
        <v>5631.2926502557848</v>
      </c>
      <c r="G12" s="23"/>
      <c r="H12" s="23"/>
      <c r="I12" s="23"/>
      <c r="J12" s="23">
        <f>J8*J10</f>
        <v>259.65128783306989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0.7184146856258683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894.43752596133231</v>
      </c>
      <c r="C26" s="247">
        <f>B26*'GWP N2O_CH4'!B5</f>
        <v>18783.188045187977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321.77894449319371</v>
      </c>
      <c r="C27" s="247">
        <f>B27*'GWP N2O_CH4'!B5</f>
        <v>6757.357834357068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11.995415567132316</v>
      </c>
      <c r="C28" s="247">
        <f>B28*'GWP N2O_CH4'!B4</f>
        <v>3718.5788258110179</v>
      </c>
      <c r="D28" s="50"/>
    </row>
    <row r="29" spans="1:4">
      <c r="A29" s="41" t="s">
        <v>277</v>
      </c>
      <c r="B29" s="247">
        <f>B34*'ha_N2O bodem landbouw'!B4</f>
        <v>39.424563613024212</v>
      </c>
      <c r="C29" s="247">
        <f>B29*'GWP N2O_CH4'!B4</f>
        <v>12221.614720037505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8.9965495534017632E-3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5.618539780078582E-5</v>
      </c>
      <c r="C5" s="463" t="s">
        <v>211</v>
      </c>
      <c r="D5" s="448">
        <f>SUM(D6:D11)</f>
        <v>2.3213776436757817E-4</v>
      </c>
      <c r="E5" s="448">
        <f>SUM(E6:E11)</f>
        <v>3.0245908482992378E-4</v>
      </c>
      <c r="F5" s="461" t="s">
        <v>211</v>
      </c>
      <c r="G5" s="448">
        <f>SUM(G6:G11)</f>
        <v>0.12770677713147041</v>
      </c>
      <c r="H5" s="448">
        <f>SUM(H6:H11)</f>
        <v>2.5947571308858414E-2</v>
      </c>
      <c r="I5" s="463" t="s">
        <v>211</v>
      </c>
      <c r="J5" s="463" t="s">
        <v>211</v>
      </c>
      <c r="K5" s="463" t="s">
        <v>211</v>
      </c>
      <c r="L5" s="463" t="s">
        <v>211</v>
      </c>
      <c r="M5" s="448">
        <f>SUM(M6:M11)</f>
        <v>8.2314748660345157E-3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2.8925297122257714E-5</v>
      </c>
      <c r="C6" s="449"/>
      <c r="D6" s="962">
        <f>vkm_2011_GW_PW*SUMIFS(TableVerdeelsleutelVkm[CNG],TableVerdeelsleutelVkm[Voertuigtype],"Lichte voertuigen")*SUMIFS(TableECFTransport[EnergieConsumptieFactor (PJ per km)],TableECFTransport[Index],CONCATENATE($A6,"_CNG_CNG"))</f>
        <v>8.6759289756323848E-5</v>
      </c>
      <c r="E6" s="962">
        <f>vkm_2011_GW_PW*SUMIFS(TableVerdeelsleutelVkm[LPG],TableVerdeelsleutelVkm[Voertuigtype],"Lichte voertuigen")*SUMIFS(TableECFTransport[EnergieConsumptieFactor (PJ per km)],TableECFTransport[Index],CONCATENATE($A6,"_LPG_LPG"))</f>
        <v>1.1852565216493876E-4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3.0645300349509848E-2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9.866144958027177E-3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2.0832629643272637E-3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3.2637523772063658E-2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9.9455142103800616E-6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1.9072285163218537E-3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2.7260100678528106E-5</v>
      </c>
      <c r="C8" s="449"/>
      <c r="D8" s="451">
        <f>vkm_2011_NGW_PW*SUMIFS(TableVerdeelsleutelVkm[CNG],TableVerdeelsleutelVkm[Voertuigtype],"Lichte voertuigen")*SUMIFS(TableECFTransport[EnergieConsumptieFactor (PJ per km)],TableECFTransport[Index],CONCATENATE($A8,"_CNG_CNG"))</f>
        <v>1.4537847461125434E-4</v>
      </c>
      <c r="E8" s="451">
        <f>vkm_2011_NGW_PW*SUMIFS(TableVerdeelsleutelVkm[LPG],TableVerdeelsleutelVkm[Voertuigtype],"Lichte voertuigen")*SUMIFS(TableECFTransport[EnergieConsumptieFactor (PJ per km)],TableECFTransport[Index],CONCATENATE($A8,"_LPG_LPG"))</f>
        <v>1.8393343266498503E-4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4.4317862858478961E-2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1.6065712931359541E-2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3.0660608893566966E-3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2.0106090151417948E-2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5.7679052613152324E-6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1.1749224960287017E-3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15.607054944662726</v>
      </c>
      <c r="C14" s="21"/>
      <c r="D14" s="21">
        <f t="shared" ref="D14:M14" si="0">((D5)*10^9/3600)+D12</f>
        <v>64.482712324327267</v>
      </c>
      <c r="E14" s="21">
        <f t="shared" si="0"/>
        <v>84.016412452756597</v>
      </c>
      <c r="F14" s="21"/>
      <c r="G14" s="21">
        <f t="shared" si="0"/>
        <v>35474.104758741778</v>
      </c>
      <c r="H14" s="21">
        <f t="shared" si="0"/>
        <v>7207.658696905115</v>
      </c>
      <c r="I14" s="21"/>
      <c r="J14" s="21"/>
      <c r="K14" s="21"/>
      <c r="L14" s="21"/>
      <c r="M14" s="21">
        <f t="shared" si="0"/>
        <v>2286.5207961206988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0.19928673283025242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3.1102789890240707</v>
      </c>
      <c r="C18" s="23"/>
      <c r="D18" s="23">
        <f t="shared" ref="D18:M18" si="1">D14*D16</f>
        <v>13.025507889514108</v>
      </c>
      <c r="E18" s="23">
        <f t="shared" si="1"/>
        <v>19.071725626775748</v>
      </c>
      <c r="F18" s="23"/>
      <c r="G18" s="23">
        <f t="shared" si="1"/>
        <v>9471.5859705840558</v>
      </c>
      <c r="H18" s="23">
        <f t="shared" si="1"/>
        <v>1794.7070155293736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7.4909281198920789E-4</v>
      </c>
      <c r="H50" s="321">
        <f t="shared" si="2"/>
        <v>0</v>
      </c>
      <c r="I50" s="321">
        <f t="shared" si="2"/>
        <v>0</v>
      </c>
      <c r="J50" s="321">
        <f t="shared" si="2"/>
        <v>0</v>
      </c>
      <c r="K50" s="321">
        <f t="shared" si="2"/>
        <v>0</v>
      </c>
      <c r="L50" s="321">
        <f t="shared" si="2"/>
        <v>0</v>
      </c>
      <c r="M50" s="321">
        <f t="shared" si="2"/>
        <v>4.2545164793549344E-5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7.4909281198920789E-4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4.2545164793549344E-5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208.08133666366885</v>
      </c>
      <c r="H54" s="21">
        <f t="shared" si="3"/>
        <v>0</v>
      </c>
      <c r="I54" s="21">
        <f t="shared" si="3"/>
        <v>0</v>
      </c>
      <c r="J54" s="21">
        <f t="shared" si="3"/>
        <v>0</v>
      </c>
      <c r="K54" s="21">
        <f t="shared" si="3"/>
        <v>0</v>
      </c>
      <c r="L54" s="21">
        <f t="shared" si="3"/>
        <v>0</v>
      </c>
      <c r="M54" s="21">
        <f t="shared" si="3"/>
        <v>11.818101331541484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0.19928673283025242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55.55771688919959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2539.5638702126562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2539.5638702126562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2018-09-06T12:48:31Z</dcterms:modified>
</cp:coreProperties>
</file>