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<sst xmlns="http://schemas.openxmlformats.org/spreadsheetml/2006/main" count="1914" uniqueCount="809">
  <si>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</si>
  <si>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</si>
  <si>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</si>
  <si>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</si>
  <si>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</si>
  <si>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</si>
  <si>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</si>
  <si>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</si>
  <si>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</si>
  <si>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</si>
  <si>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</si>
  <si>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</si>
  <si>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</si>
  <si>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</si>
  <si>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</si>
  <si>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</si>
  <si>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</si>
  <si>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</si>
  <si>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</si>
  <si>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</si>
  <si>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</si>
  <si>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</si>
  <si>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</si>
  <si>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</si>
  <si>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</si>
  <si>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</si>
  <si>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</si>
  <si>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</si>
  <si>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</si>
  <si>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</si>
  <si>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</si>
  <si>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</si>
  <si>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</si>
  <si>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</si>
  <si>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</si>
  <si>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</si>
  <si>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</si>
  <si>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</si>
  <si>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</si>
  <si>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</si>
  <si>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</si>
  <si>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</si>
  <si>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</si>
  <si>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</si>
  <si>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</si>
  <si>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</si>
  <si>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</si>
  <si>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</si>
  <si>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</si>
  <si>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</si>
  <si>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</si>
  <si>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</si>
  <si>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</si>
  <si>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</si>
  <si>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</si>
  <si>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</si>
  <si>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</si>
  <si>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</si>
  <si>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</si>
  <si>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</si>
  <si>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</si>
  <si>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</si>
  <si>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</si>
  <si>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</si>
  <si>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</si>
  <si>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</si>
  <si>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</si>
  <si>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</si>
  <si>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</si>
  <si>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</si>
  <si>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</si>
  <si>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</si>
  <si>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</si>
  <si>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</si>
  <si>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</si>
  <si>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</si>
  <si>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</si>
  <si>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</si>
  <si>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</si>
  <si>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</si>
  <si>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</si>
  <si>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</si>
  <si>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</si>
  <si>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</si>
  <si>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</si>
  <si>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</si>
  <si>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</si>
  <si>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</si>
  <si>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</si>
  <si>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</si>
  <si>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</si>
  <si>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</si>
  <si>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</si>
  <si>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</si>
  <si>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</si>
  <si>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</si>
  <si>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</si>
  <si>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</si>
  <si>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</si>
  <si>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</si>
  <si>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</si>
  <si>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</si>
  <si>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</si>
  <si>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</si>
  <si>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</si>
  <si>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</si>
  <si>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</si>
  <si>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</si>
  <si>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</si>
  <si>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</si>
  <si>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</si>
  <si>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</si>
  <si>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</si>
  <si>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</si>
  <si>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</si>
  <si>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</si>
  <si>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</si>
  <si>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</si>
  <si>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</si>
  <si>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</si>
  <si>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</si>
  <si>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</si>
  <si>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</si>
  <si>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</si>
  <si>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</si>
  <si>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</si>
  <si>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</si>
  <si>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</si>
  <si>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</si>
  <si>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</si>
  <si>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</si>
  <si>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</si>
  <si>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</si>
  <si>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</si>
  <si>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</si>
  <si>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</si>
  <si>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</si>
  <si>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</si>
  <si>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</si>
  <si>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</si>
  <si>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</si>
  <si>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</si>
  <si>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</si>
  <si>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</si>
  <si>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</si>
  <si>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</si>
  <si>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</si>
  <si>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</si>
  <si>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</si>
  <si>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</si>
  <si>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</si>
  <si>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</si>
  <si>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</si>
  <si>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</si>
  <si>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</si>
  <si>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</si>
  <si>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</si>
  <si>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</si>
  <si>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</si>
  <si>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</si>
  <si>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</si>
  <si>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</si>
  <si>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</si>
  <si>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</si>
  <si>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</si>
  <si>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</si>
  <si>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</si>
  <si>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</si>
  <si>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</si>
  <si>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</si>
  <si>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</si>
  <si>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</si>
  <si>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</si>
  <si>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</si>
  <si>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</si>
  <si>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</si>
  <si>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</si>
  <si>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</si>
  <si>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</si>
  <si>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</si>
  <si>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</si>
  <si>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</si>
  <si>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</si>
  <si>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</si>
  <si>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</si>
  <si>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</si>
  <si>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</si>
  <si>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</si>
  <si>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</si>
  <si>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</si>
  <si>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</si>
  <si>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</si>
  <si>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</si>
  <si>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</si>
  <si>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</si>
  <si>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</si>
  <si>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</si>
  <si>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</si>
  <si>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</si>
  <si>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</si>
  <si>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</si>
  <si>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</si>
  <si>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</si>
  <si>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</si>
  <si>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</si>
  <si>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</si>
  <si>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</si>
  <si>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</si>
  <si>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</si>
  <si>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</si>
  <si>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</si>
  <si>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</si>
  <si>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</si>
  <si>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</si>
  <si>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</si>
  <si>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</si>
  <si>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</si>
  <si>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</si>
  <si>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</si>
  <si>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</si>
  <si>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</si>
  <si>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</si>
  <si>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</si>
  <si>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</si>
  <si>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</si>
  <si>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</si>
  <si>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</si>
  <si>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</si>
  <si>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</si>
  <si>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</si>
  <si>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</si>
  <si>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</si>
  <si>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</si>
  <si>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</si>
  <si>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</si>
  <si>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</si>
  <si>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</si>
  <si>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</si>
  <si>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</si>
  <si>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</si>
  <si>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</si>
  <si>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</si>
  <si>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</si>
  <si>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</si>
  <si>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</si>
  <si>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</si>
  <si>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</si>
  <si>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</si>
  <si>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</si>
  <si>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</si>
  <si>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</si>
  <si>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</si>
  <si>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</si>
  <si>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</si>
  <si>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</si>
  <si>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</si>
  <si>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</si>
  <si>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</si>
  <si>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</si>
  <si>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</si>
  <si>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</si>
  <si>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</si>
  <si>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</si>
  <si>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</si>
  <si>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</si>
  <si>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</si>
  <si>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</si>
  <si>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</si>
  <si>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</si>
  <si>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</si>
  <si>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</si>
  <si>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</si>
  <si>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</si>
  <si>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</si>
  <si>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</si>
  <si>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</si>
  <si>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</si>
  <si>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</si>
  <si>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</si>
  <si>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</si>
  <si>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</si>
  <si>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</si>
  <si>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</si>
  <si>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</si>
  <si>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</si>
  <si>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</si>
  <si>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</si>
  <si>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</si>
  <si>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</si>
  <si>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</si>
  <si>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</si>
  <si>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</si>
  <si>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</si>
  <si>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</si>
  <si>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</si>
  <si>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</si>
  <si>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</si>
  <si>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</si>
  <si>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</si>
  <si>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</si>
  <si>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</si>
  <si>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</si>
  <si>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</si>
  <si>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</si>
  <si>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</si>
  <si>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</si>
  <si>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</si>
  <si>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</si>
  <si>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</si>
  <si>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</si>
  <si>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</si>
  <si>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</si>
  <si>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</si>
  <si>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</si>
  <si>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</si>
  <si>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</si>
  <si>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</si>
  <si>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</si>
  <si>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</si>
  <si>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</si>
  <si>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</si>
  <si>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</si>
  <si>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</si>
  <si>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</si>
  <si>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</si>
  <si>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</si>
  <si>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</si>
  <si>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</si>
  <si>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</si>
  <si>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</si>
  <si>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</si>
  <si>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</si>
  <si>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</si>
  <si>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</si>
  <si>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</si>
  <si>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</si>
  <si>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</si>
  <si>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</si>
  <si>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</si>
  <si>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</si>
  <si>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</si>
  <si>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</si>
  <si>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</si>
  <si>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</si>
  <si>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</si>
  <si>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</si>
  <si>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</si>
  <si>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</si>
  <si>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</si>
  <si>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</si>
  <si>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</si>
  <si>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</si>
  <si>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</si>
  <si>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</si>
  <si>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</si>
  <si>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</si>
  <si>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</si>
  <si>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</si>
  <si>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</si>
  <si>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</si>
  <si>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</si>
  <si>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</si>
  <si>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</si>
  <si>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</si>
  <si>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</si>
  <si>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</si>
  <si>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</si>
  <si>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</si>
  <si>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</si>
  <si>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</si>
  <si>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</si>
  <si>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</si>
  <si>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</si>
  <si>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</si>
  <si>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</si>
  <si>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</si>
  <si>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</si>
  <si>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</si>
  <si>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</si>
  <si>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</si>
  <si>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</si>
  <si>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</si>
  <si>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</si>
  <si>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</si>
  <si>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</si>
  <si>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</si>
  <si>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</si>
  <si>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</si>
  <si>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</si>
  <si>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</si>
  <si>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</si>
  <si>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</si>
  <si>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</si>
  <si>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</si>
  <si>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</si>
  <si>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</si>
  <si>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</si>
  <si>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</si>
  <si>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</si>
  <si>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</si>
  <si>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</si>
  <si>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</si>
  <si>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</si>
  <si>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</si>
  <si>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</si>
  <si>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</si>
  <si>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</si>
  <si>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</si>
  <si>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</si>
  <si>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</si>
  <si>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</si>
  <si>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</si>
  <si>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</si>
  <si>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</si>
  <si>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</si>
  <si>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</si>
  <si>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</si>
  <si>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</si>
  <si>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</si>
  <si>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</si>
  <si>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</si>
  <si>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</si>
  <si>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</si>
  <si>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</si>
  <si>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</si>
  <si>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</si>
  <si>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</si>
  <si>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</si>
  <si>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</si>
  <si>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</si>
  <si>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</si>
  <si>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</si>
  <si>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</si>
  <si>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</si>
  <si>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</si>
  <si>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</si>
  <si>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</si>
  <si>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</si>
  <si>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</si>
  <si>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</si>
  <si>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</si>
  <si>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</si>
  <si>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</si>
  <si>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</si>
  <si>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</si>
  <si>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</si>
  <si>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</si>
  <si>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</si>
  <si>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</si>
  <si>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</si>
  <si>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</si>
  <si>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</si>
  <si>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</si>
  <si>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</si>
  <si>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</si>
  <si>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</si>
  <si>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</si>
  <si>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</si>
  <si>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</si>
  <si>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</si>
  <si>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</si>
  <si>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</si>
  <si>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</si>
  <si>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</si>
  <si>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</si>
  <si>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</si>
  <si>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</si>
  <si>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</si>
  <si>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</si>
  <si>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</si>
  <si>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</si>
  <si>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</si>
  <si>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</si>
  <si>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</si>
  <si>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</si>
  <si>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</si>
  <si>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</si>
  <si>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</si>
  <si>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</si>
  <si>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</si>
  <si>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</si>
  <si>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</si>
  <si>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</si>
  <si>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</si>
  <si>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</si>
  <si>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</si>
  <si>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</si>
  <si>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</si>
  <si>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</si>
  <si>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</si>
  <si>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</si>
  <si>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</si>
  <si>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</si>
  <si>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</si>
  <si>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</si>
  <si>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</si>
  <si>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</si>
  <si>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</si>
  <si>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</si>
  <si>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</si>
  <si>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</si>
  <si>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</si>
  <si>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</si>
  <si>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</si>
  <si>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</si>
  <si>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</si>
  <si>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</si>
  <si>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</si>
  <si>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</si>
  <si>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</si>
  <si>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</si>
  <si>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</si>
  <si>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</si>
  <si>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</si>
  <si>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</si>
  <si>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</si>
  <si>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</si>
  <si>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</si>
  <si>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</si>
  <si>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</si>
  <si>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</si>
  <si>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</si>
  <si>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</si>
  <si>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</si>
  <si>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</si>
  <si>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</si>
  <si>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</si>
  <si>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</si>
  <si>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</si>
  <si>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</si>
  <si>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</si>
  <si>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</si>
  <si>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</si>
  <si>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</si>
  <si>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</si>
  <si>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</si>
  <si>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</si>
  <si>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</si>
  <si>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</si>
  <si>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</si>
  <si>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</si>
  <si>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</si>
  <si>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</si>
  <si>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</si>
  <si>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</si>
  <si>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</si>
  <si>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</si>
  <si>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</si>
  <si>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</si>
  <si>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</si>
  <si>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</si>
  <si>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</si>
  <si>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</si>
  <si>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</si>
  <si>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</si>
  <si>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</si>
  <si>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</si>
  <si>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</si>
  <si>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</si>
  <si>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</si>
  <si>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</si>
  <si>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</si>
  <si>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</si>
  <si>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</si>
  <si>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</si>
  <si>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</si>
  <si>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</si>
  <si>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</si>
  <si>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</si>
  <si>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</si>
  <si>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</si>
  <si>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</si>
  <si>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</si>
  <si>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</si>
  <si>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</si>
  <si>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</si>
  <si>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</si>
  <si>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</si>
  <si>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</si>
  <si>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</si>
  <si>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</si>
  <si>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</si>
  <si>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</si>
  <si>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</si>
  <si>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</si>
  <si>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</si>
  <si>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</si>
  <si>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</si>
  <si>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</si>
  <si>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</si>
  <si>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</si>
  <si>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</si>
  <si>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</si>
  <si>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</si>
  <si>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</si>
  <si>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</si>
  <si>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</si>
  <si>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</si>
  <si>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</si>
  <si>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</si>
  <si>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</si>
  <si>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</si>
  <si>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</si>
  <si>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</si>
  <si>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</si>
  <si>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</si>
  <si>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</si>
  <si>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</si>
  <si>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</si>
  <si>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</si>
  <si>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</si>
  <si>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</si>
  <si>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</si>
  <si>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</si>
  <si>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</si>
  <si>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</si>
  <si>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</si>
  <si>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</si>
  <si>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</si>
  <si>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</si>
  <si>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</si>
  <si>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</si>
  <si>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</si>
  <si>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</si>
  <si>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</si>
  <si>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</si>
  <si>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</si>
  <si>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</si>
  <si>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</si>
  <si>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</si>
  <si>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</si>
  <si>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</si>
  <si>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</si>
  <si>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</si>
  <si>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</si>
  <si>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</si>
  <si>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</si>
  <si>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</si>
  <si>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</si>
  <si>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</si>
  <si>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</si>
  <si>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</si>
  <si>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</si>
  <si>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</si>
  <si>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</si>
  <si>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</si>
  <si>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</si>
  <si>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</si>
  <si>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</si>
  <si>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</si>
  <si>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</si>
  <si>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</si>
  <si>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</si>
  <si>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</si>
  <si>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</si>
  <si>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</si>
  <si>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</si>
  <si>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</si>
  <si>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</si>
  <si>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</si>
  <si>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</si>
  <si>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</si>
  <si>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</si>
  <si>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</si>
  <si>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</si>
  <si>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</si>
  <si>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</si>
  <si>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</si>
  <si>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</si>
  <si>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</si>
  <si>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</si>
  <si>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</si>
  <si>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</si>
  <si>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</si>
  <si>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</si>
  <si>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</si>
  <si>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</si>
  <si>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</si>
  <si>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</si>
  <si>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</si>
  <si>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</si>
  <si>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</si>
  <si>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</si>
  <si>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</si>
  <si>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</si>
  <si>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</si>
  <si>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</si>
  <si>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</si>
  <si>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</si>
  <si>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</si>
  <si>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</si>
  <si>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</si>
  <si>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</si>
  <si>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</si>
  <si>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</si>
  <si>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</si>
  <si>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</si>
  <si>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</si>
  <si>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</si>
  <si>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</si>
  <si>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</si>
  <si>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</si>
  <si>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</si>
  <si>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</si>
  <si>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</si>
  <si>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</si>
  <si>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</si>
  <si>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</si>
  <si>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</si>
  <si>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</si>
  <si>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</si>
  <si>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</si>
  <si>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</si>
  <si>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</si>
  <si>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</si>
  <si>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</si>
  <si>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</si>
  <si>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</si>
  <si>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</si>
  <si>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</si>
  <si>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</si>
  <si>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</si>
  <si>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</si>
  <si>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</si>
  <si>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</si>
  <si>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</si>
  <si>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</si>
  <si>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</si>
  <si>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</si>
  <si>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</si>
  <si>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</si>
  <si>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</si>
  <si>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</si>
  <si>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</si>
  <si>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</si>
  <si>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</si>
  <si>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</si>
  <si>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</si>
  <si>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</si>
  <si>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</si>
  <si>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</si>
  <si>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</si>
  <si>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</si>
  <si>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</si>
  <si>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</si>
  <si>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</si>
  <si>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</si>
  <si>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</si>
  <si>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</si>
  <si>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</si>
  <si>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</si>
  <si>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</si>
  <si>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</si>
  <si>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</si>
  <si>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</si>
  <si>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</si>
  <si>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</si>
  <si>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</si>
  <si>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</si>
  <si>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</si>
  <si>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</si>
  <si>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</si>
  <si>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</si>
  <si>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</si>
  <si>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</si>
  <si>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</si>
  <si>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</si>
  <si>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</si>
  <si>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</si>
  <si>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</si>
  <si>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</si>
  <si>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</si>
  <si>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</si>
  <si>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</si>
  <si>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</si>
  <si>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</si>
  <si>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</si>
  <si>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</si>
  <si>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</si>
  <si>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</si>
  <si>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</si>
  <si>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</si>
  <si>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</si>
  <si>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</si>
  <si>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</si>
  <si>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</si>
  <si>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</si>
  <si>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</si>
  <si>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</si>
  <si>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</si>
  <si>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</si>
  <si>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</si>
  <si>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</si>
  <si>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</si>
  <si>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</si>
  <si>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</si>
  <si>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</si>
  <si>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</si>
  <si>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</si>
  <si>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</si>
  <si>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</si>
  <si>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42028</t>
  </si>
  <si>
    <t>ZELE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</si>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</sst>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152947.05232291654</c:v>
                </c:pt>
                <c:pt idx="1">
                  <c:v>50130.364135301716</c:v>
                </c:pt>
                <c:pt idx="2">
                  <c:v>1365.761</c:v>
                </c:pt>
                <c:pt idx="3">
                  <c:v>11252.916453689359</c:v>
                </c:pt>
                <c:pt idx="4">
                  <c:v>149040.31333306225</c:v>
                </c:pt>
                <c:pt idx="5">
                  <c:v>121610.72997831709</c:v>
                </c:pt>
                <c:pt idx="6">
                  <c:v>266.22746225227598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39680"/>
      </c:barChart>
      <c:catAx>
        <c:axId val="179748224"/>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152947.05232291654</c:v>
                </c:pt>
                <c:pt idx="1">
                  <c:v>50130.364135301716</c:v>
                </c:pt>
                <c:pt idx="2">
                  <c:v>1365.761</c:v>
                </c:pt>
                <c:pt idx="3">
                  <c:v>11252.916453689359</c:v>
                </c:pt>
                <c:pt idx="4">
                  <c:v>149040.31333306225</c:v>
                </c:pt>
                <c:pt idx="5">
                  <c:v>121610.72997831709</c:v>
                </c:pt>
                <c:pt idx="6">
                  <c:v>266.22746225227598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26528.985803699416</c:v>
                </c:pt>
                <c:pt idx="1">
                  <c:v>9486.2843419205728</c:v>
                </c:pt>
                <c:pt idx="2">
                  <c:v>236.11398871960603</c:v>
                </c:pt>
                <c:pt idx="3">
                  <c:v>2690.7108016582342</c:v>
                </c:pt>
                <c:pt idx="4">
                  <c:v>26070.812513351899</c:v>
                </c:pt>
                <c:pt idx="5">
                  <c:v>30455.348224188303</c:v>
                </c:pt>
                <c:pt idx="6">
                  <c:v>67.262518316505137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5600"/>
        <c:axId val="182636544"/>
      </c:barChart>
      <c:catAx>
        <c:axId val="182585600"/>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85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26528.985803699416</c:v>
                </c:pt>
                <c:pt idx="1">
                  <c:v>9486.2843419205728</c:v>
                </c:pt>
                <c:pt idx="2">
                  <c:v>236.11398871960603</c:v>
                </c:pt>
                <c:pt idx="3">
                  <c:v>2690.7108016582342</c:v>
                </c:pt>
                <c:pt idx="4">
                  <c:v>26070.812513351899</c:v>
                </c:pt>
                <c:pt idx="5">
                  <c:v>30455.348224188303</c:v>
                </c:pt>
                <c:pt idx="6">
                  <c:v>67.262518316505137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42028</v>
      </c>
      <c r="B6" s="415"/>
      <c r="C6" s="416"/>
    </row>
    <row r="7" spans="1:7" s="413" customFormat="1" ht="15.75" customHeight="1">
      <c r="A7" s="417" t="str">
        <f>txtMunicipality</f>
        <v>ZELE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20577.349395527333</v>
      </c>
      <c r="D10" s="718">
        <f ca="1">tertiair!C16</f>
        <v>0</v>
      </c>
      <c r="E10" s="718">
        <f ca="1">tertiair!D16</f>
        <v>25529.138199343182</v>
      </c>
      <c r="F10" s="718">
        <f>tertiair!E16</f>
        <v>370.8882826164853</v>
      </c>
      <c r="G10" s="718">
        <f ca="1">tertiair!F16</f>
        <v>3460.2124206013664</v>
      </c>
      <c r="H10" s="718">
        <f>tertiair!G16</f>
        <v>0</v>
      </c>
      <c r="I10" s="718">
        <f>tertiair!H16</f>
        <v>0</v>
      </c>
      <c r="J10" s="718">
        <f>tertiair!I16</f>
        <v>0</v>
      </c>
      <c r="K10" s="718">
        <f>tertiair!J16</f>
        <v>3.7873241168053261E-2</v>
      </c>
      <c r="L10" s="718">
        <f>tertiair!K16</f>
        <v>0</v>
      </c>
      <c r="M10" s="718">
        <f ca="1">tertiair!L16</f>
        <v>0</v>
      </c>
      <c r="N10" s="718">
        <f>tertiair!M16</f>
        <v>0</v>
      </c>
      <c r="O10" s="718">
        <f ca="1">tertiair!N16</f>
        <v>1514.1122973055067</v>
      </c>
      <c r="P10" s="718">
        <f>tertiair!O16</f>
        <v>6.2533333333333339</v>
      </c>
      <c r="Q10" s="719">
        <f>tertiair!P16</f>
        <v>38.133333333333333</v>
      </c>
      <c r="R10" s="721">
        <f ca="1">SUM(C10:Q10)</f>
        <v>51496.125135301714</v>
      </c>
      <c r="S10" s="67"/>
    </row>
    <row r="11" spans="1:19" s="474" customFormat="1">
      <c r="A11" s="870" t="s">
        <v>225</v>
      </c>
      <c r="B11" s="875"/>
      <c r="C11" s="718">
        <f>huishoudens!B8</f>
        <v>35409.29973317375</v>
      </c>
      <c r="D11" s="718">
        <f>huishoudens!C8</f>
        <v>0</v>
      </c>
      <c r="E11" s="718">
        <f>huishoudens!D8</f>
        <v>92894.026756929205</v>
      </c>
      <c r="F11" s="718">
        <f>huishoudens!E8</f>
        <v>4372.1609417863774</v>
      </c>
      <c r="G11" s="718">
        <f>huishoudens!F8</f>
        <v>0</v>
      </c>
      <c r="H11" s="718">
        <f>huishoudens!G8</f>
        <v>0</v>
      </c>
      <c r="I11" s="718">
        <f>huishoudens!H8</f>
        <v>0</v>
      </c>
      <c r="J11" s="718">
        <f>huishoudens!I8</f>
        <v>0</v>
      </c>
      <c r="K11" s="718">
        <f>huishoudens!J8</f>
        <v>1837.0630350089559</v>
      </c>
      <c r="L11" s="718">
        <f>huishoudens!K8</f>
        <v>0</v>
      </c>
      <c r="M11" s="718">
        <f>huishoudens!L8</f>
        <v>0</v>
      </c>
      <c r="N11" s="718">
        <f>huishoudens!M8</f>
        <v>0</v>
      </c>
      <c r="O11" s="718">
        <f>huishoudens!N8</f>
        <v>17566.418522684929</v>
      </c>
      <c r="P11" s="718">
        <f>huishoudens!O8</f>
        <v>257.95</v>
      </c>
      <c r="Q11" s="719">
        <f>huishoudens!P8</f>
        <v>610.13333333333333</v>
      </c>
      <c r="R11" s="721">
        <f>SUM(C11:Q11)</f>
        <v>152947.05232291654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72269.182062028907</v>
      </c>
      <c r="D13" s="718">
        <f>industrie!C18</f>
        <v>0</v>
      </c>
      <c r="E13" s="718">
        <f>industrie!D18</f>
        <v>45676.027581268056</v>
      </c>
      <c r="F13" s="718">
        <f>industrie!E18</f>
        <v>3327.3248290968854</v>
      </c>
      <c r="G13" s="718">
        <f>industrie!F18</f>
        <v>13272.402967684455</v>
      </c>
      <c r="H13" s="718">
        <f>industrie!G18</f>
        <v>0</v>
      </c>
      <c r="I13" s="718">
        <f>industrie!H18</f>
        <v>0</v>
      </c>
      <c r="J13" s="718">
        <f>industrie!I18</f>
        <v>0</v>
      </c>
      <c r="K13" s="718">
        <f>industrie!J18</f>
        <v>144.80081844555019</v>
      </c>
      <c r="L13" s="718">
        <f>industrie!K18</f>
        <v>0</v>
      </c>
      <c r="M13" s="718">
        <f>industrie!L18</f>
        <v>0</v>
      </c>
      <c r="N13" s="718">
        <f>industrie!M18</f>
        <v>0</v>
      </c>
      <c r="O13" s="718">
        <f>industrie!N18</f>
        <v>14350.575074538423</v>
      </c>
      <c r="P13" s="718">
        <f>industrie!O18</f>
        <v>0</v>
      </c>
      <c r="Q13" s="719">
        <f>industrie!P18</f>
        <v>0</v>
      </c>
      <c r="R13" s="721">
        <f>SUM(C13:Q13)</f>
        <v>149040.31333306225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128255.83119072999</v>
      </c>
      <c r="D15" s="723">
        <f t="shared" ref="D15:Q15" ca="1" si="0">SUM(D9:D14)</f>
        <v>0</v>
      </c>
      <c r="E15" s="723">
        <f t="shared" ca="1" si="0"/>
        <v>164099.19253754045</v>
      </c>
      <c r="F15" s="723">
        <f t="shared" si="0"/>
        <v>8070.3740534997487</v>
      </c>
      <c r="G15" s="723">
        <f t="shared" ca="1" si="0"/>
        <v>16732.61538828582</v>
      </c>
      <c r="H15" s="723">
        <f t="shared" si="0"/>
        <v>0</v>
      </c>
      <c r="I15" s="723">
        <f t="shared" si="0"/>
        <v>0</v>
      </c>
      <c r="J15" s="723">
        <f t="shared" si="0"/>
        <v>0</v>
      </c>
      <c r="K15" s="723">
        <f t="shared" si="0"/>
        <v>1981.9017266956741</v>
      </c>
      <c r="L15" s="723">
        <f t="shared" si="0"/>
        <v>0</v>
      </c>
      <c r="M15" s="723">
        <f t="shared" ca="1" si="0"/>
        <v>0</v>
      </c>
      <c r="N15" s="723">
        <f t="shared" si="0"/>
        <v>0</v>
      </c>
      <c r="O15" s="723">
        <f t="shared" ca="1" si="0"/>
        <v>33431.105894528861</v>
      </c>
      <c r="P15" s="723">
        <f t="shared" si="0"/>
        <v>264.20333333333332</v>
      </c>
      <c r="Q15" s="724">
        <f t="shared" si="0"/>
        <v>648.26666666666665</v>
      </c>
      <c r="R15" s="725">
        <f ca="1">SUM(R9:R14)</f>
        <v>353483.49079128052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251.91954425657352</v>
      </c>
      <c r="I18" s="718">
        <f>transport!H54</f>
        <v>0</v>
      </c>
      <c r="J18" s="718">
        <f>transport!I54</f>
        <v>0</v>
      </c>
      <c r="K18" s="718">
        <f>transport!J54</f>
        <v>0</v>
      </c>
      <c r="L18" s="718">
        <f>transport!K54</f>
        <v>0</v>
      </c>
      <c r="M18" s="718">
        <f>transport!L54</f>
        <v>0</v>
      </c>
      <c r="N18" s="718">
        <f>transport!M54</f>
        <v>14.307917995702493</v>
      </c>
      <c r="O18" s="718">
        <f>transport!N54</f>
        <v>0</v>
      </c>
      <c r="P18" s="718">
        <f>transport!O54</f>
        <v>0</v>
      </c>
      <c r="Q18" s="719">
        <f>transport!P54</f>
        <v>0</v>
      </c>
      <c r="R18" s="721">
        <f>SUM(C18:Q18)</f>
        <v>266.22746225227598</v>
      </c>
      <c r="S18" s="67"/>
    </row>
    <row r="19" spans="1:19" s="474" customFormat="1" ht="15" thickBot="1">
      <c r="A19" s="870" t="s">
        <v>307</v>
      </c>
      <c r="B19" s="875"/>
      <c r="C19" s="727">
        <f>transport!B14</f>
        <v>47.227507182438963</v>
      </c>
      <c r="D19" s="727">
        <f>transport!C14</f>
        <v>0</v>
      </c>
      <c r="E19" s="727">
        <f>transport!D14</f>
        <v>166.66706361788277</v>
      </c>
      <c r="F19" s="727">
        <f>transport!E14</f>
        <v>236.91665666874482</v>
      </c>
      <c r="G19" s="727">
        <f>transport!F14</f>
        <v>0</v>
      </c>
      <c r="H19" s="727">
        <f>transport!G14</f>
        <v>95986.286043118642</v>
      </c>
      <c r="I19" s="727">
        <f>transport!H14</f>
        <v>19001.599553770022</v>
      </c>
      <c r="J19" s="727">
        <f>transport!I14</f>
        <v>0</v>
      </c>
      <c r="K19" s="727">
        <f>transport!J14</f>
        <v>0</v>
      </c>
      <c r="L19" s="727">
        <f>transport!K14</f>
        <v>0</v>
      </c>
      <c r="M19" s="727">
        <f>transport!L14</f>
        <v>0</v>
      </c>
      <c r="N19" s="727">
        <f>transport!M14</f>
        <v>6172.0331539593544</v>
      </c>
      <c r="O19" s="727">
        <f>transport!N14</f>
        <v>0</v>
      </c>
      <c r="P19" s="727">
        <f>transport!O14</f>
        <v>0</v>
      </c>
      <c r="Q19" s="728">
        <f>transport!P14</f>
        <v>0</v>
      </c>
      <c r="R19" s="729">
        <f>SUM(C19:Q19)</f>
        <v>121610.72997831709</v>
      </c>
      <c r="S19" s="67"/>
    </row>
    <row r="20" spans="1:19" s="474" customFormat="1" ht="15.75" thickBot="1">
      <c r="A20" s="730" t="s">
        <v>230</v>
      </c>
      <c r="B20" s="878"/>
      <c r="C20" s="873">
        <f>SUM(C17:C19)</f>
        <v>47.227507182438963</v>
      </c>
      <c r="D20" s="731">
        <f t="shared" ref="D20:R20" si="1">SUM(D17:D19)</f>
        <v>0</v>
      </c>
      <c r="E20" s="731">
        <f t="shared" si="1"/>
        <v>166.66706361788277</v>
      </c>
      <c r="F20" s="731">
        <f t="shared" si="1"/>
        <v>236.91665666874482</v>
      </c>
      <c r="G20" s="731">
        <f t="shared" si="1"/>
        <v>0</v>
      </c>
      <c r="H20" s="731">
        <f t="shared" si="1"/>
        <v>96238.205587375211</v>
      </c>
      <c r="I20" s="731">
        <f t="shared" si="1"/>
        <v>19001.599553770022</v>
      </c>
      <c r="J20" s="731">
        <f t="shared" si="1"/>
        <v>0</v>
      </c>
      <c r="K20" s="731">
        <f t="shared" si="1"/>
        <v>0</v>
      </c>
      <c r="L20" s="731">
        <f t="shared" si="1"/>
        <v>0</v>
      </c>
      <c r="M20" s="731">
        <f t="shared" si="1"/>
        <v>0</v>
      </c>
      <c r="N20" s="731">
        <f t="shared" si="1"/>
        <v>6186.3410719550566</v>
      </c>
      <c r="O20" s="731">
        <f t="shared" si="1"/>
        <v>0</v>
      </c>
      <c r="P20" s="731">
        <f t="shared" si="1"/>
        <v>0</v>
      </c>
      <c r="Q20" s="732">
        <f t="shared" si="1"/>
        <v>0</v>
      </c>
      <c r="R20" s="733">
        <f t="shared" si="1"/>
        <v>121876.95744056937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1579.3652459676534</v>
      </c>
      <c r="D22" s="727">
        <f>+landbouw!C8</f>
        <v>0</v>
      </c>
      <c r="E22" s="727">
        <f>+landbouw!D8</f>
        <v>2818.7624620377792</v>
      </c>
      <c r="F22" s="727">
        <f>+landbouw!E8</f>
        <v>46.422368517236713</v>
      </c>
      <c r="G22" s="727">
        <f>+landbouw!F8</f>
        <v>6579.5502702828808</v>
      </c>
      <c r="H22" s="727">
        <f>+landbouw!G8</f>
        <v>0</v>
      </c>
      <c r="I22" s="727">
        <f>+landbouw!H8</f>
        <v>0</v>
      </c>
      <c r="J22" s="727">
        <f>+landbouw!I8</f>
        <v>0</v>
      </c>
      <c r="K22" s="727">
        <f>+landbouw!J8</f>
        <v>228.81610688380883</v>
      </c>
      <c r="L22" s="727">
        <f>+landbouw!K8</f>
        <v>0</v>
      </c>
      <c r="M22" s="727">
        <f>+landbouw!L8</f>
        <v>0</v>
      </c>
      <c r="N22" s="727">
        <f>+landbouw!M8</f>
        <v>0</v>
      </c>
      <c r="O22" s="727">
        <f>+landbouw!N8</f>
        <v>0</v>
      </c>
      <c r="P22" s="727">
        <f>+landbouw!O8</f>
        <v>0</v>
      </c>
      <c r="Q22" s="728">
        <f>+landbouw!P8</f>
        <v>0</v>
      </c>
      <c r="R22" s="729">
        <f>SUM(C22:Q22)</f>
        <v>11252.916453689359</v>
      </c>
      <c r="S22" s="67"/>
    </row>
    <row r="23" spans="1:19" s="474" customFormat="1" ht="17.25" thickTop="1" thickBot="1">
      <c r="A23" s="734" t="s">
        <v>116</v>
      </c>
      <c r="B23" s="864"/>
      <c r="C23" s="735">
        <f ca="1">C20+C15+C22</f>
        <v>129882.42394388009</v>
      </c>
      <c r="D23" s="735">
        <f t="shared" ref="D23:Q23" ca="1" si="2">D20+D15+D22</f>
        <v>0</v>
      </c>
      <c r="E23" s="735">
        <f t="shared" ca="1" si="2"/>
        <v>167084.62206319612</v>
      </c>
      <c r="F23" s="735">
        <f t="shared" si="2"/>
        <v>8353.7130786857306</v>
      </c>
      <c r="G23" s="735">
        <f t="shared" ca="1" si="2"/>
        <v>23312.165658568701</v>
      </c>
      <c r="H23" s="735">
        <f t="shared" si="2"/>
        <v>96238.205587375211</v>
      </c>
      <c r="I23" s="735">
        <f t="shared" si="2"/>
        <v>19001.599553770022</v>
      </c>
      <c r="J23" s="735">
        <f t="shared" si="2"/>
        <v>0</v>
      </c>
      <c r="K23" s="735">
        <f t="shared" si="2"/>
        <v>2210.7178335794829</v>
      </c>
      <c r="L23" s="735">
        <f t="shared" si="2"/>
        <v>0</v>
      </c>
      <c r="M23" s="735">
        <f t="shared" ca="1" si="2"/>
        <v>0</v>
      </c>
      <c r="N23" s="735">
        <f t="shared" si="2"/>
        <v>6186.3410719550566</v>
      </c>
      <c r="O23" s="735">
        <f t="shared" ca="1" si="2"/>
        <v>33431.105894528861</v>
      </c>
      <c r="P23" s="735">
        <f t="shared" si="2"/>
        <v>264.20333333333332</v>
      </c>
      <c r="Q23" s="736">
        <f t="shared" si="2"/>
        <v>648.26666666666665</v>
      </c>
      <c r="R23" s="737">
        <f ca="1">R20+R15+R22</f>
        <v>486613.36468553921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3557.4306507909755</v>
      </c>
      <c r="D36" s="718">
        <f ca="1">tertiair!C20</f>
        <v>0</v>
      </c>
      <c r="E36" s="718">
        <f ca="1">tertiair!D20</f>
        <v>5156.8859162673234</v>
      </c>
      <c r="F36" s="718">
        <f>tertiair!E20</f>
        <v>84.19164015394216</v>
      </c>
      <c r="G36" s="718">
        <f ca="1">tertiair!F20</f>
        <v>923.87671630056491</v>
      </c>
      <c r="H36" s="718">
        <f>tertiair!G20</f>
        <v>0</v>
      </c>
      <c r="I36" s="718">
        <f>tertiair!H20</f>
        <v>0</v>
      </c>
      <c r="J36" s="718">
        <f>tertiair!I20</f>
        <v>0</v>
      </c>
      <c r="K36" s="718">
        <f>tertiair!J20</f>
        <v>1.3407127373490854E-2</v>
      </c>
      <c r="L36" s="718">
        <f>tertiair!K20</f>
        <v>0</v>
      </c>
      <c r="M36" s="718">
        <f ca="1">tertiair!L20</f>
        <v>0</v>
      </c>
      <c r="N36" s="718">
        <f>tertiair!M20</f>
        <v>0</v>
      </c>
      <c r="O36" s="718">
        <f ca="1">tertiair!N20</f>
        <v>0</v>
      </c>
      <c r="P36" s="718">
        <f>tertiair!O20</f>
        <v>0</v>
      </c>
      <c r="Q36" s="828">
        <f>tertiair!P20</f>
        <v>0</v>
      </c>
      <c r="R36" s="917">
        <f ca="1">SUM(C36:Q36)</f>
        <v>9722.3983306401788</v>
      </c>
    </row>
    <row r="37" spans="1:18">
      <c r="A37" s="885" t="s">
        <v>225</v>
      </c>
      <c r="B37" s="892"/>
      <c r="C37" s="718">
        <f ca="1">huishoudens!B12</f>
        <v>6121.5915506210358</v>
      </c>
      <c r="D37" s="718">
        <f ca="1">huishoudens!C12</f>
        <v>0</v>
      </c>
      <c r="E37" s="718">
        <f>huishoudens!D12</f>
        <v>18764.593404899701</v>
      </c>
      <c r="F37" s="718">
        <f>huishoudens!E12</f>
        <v>992.48053378550776</v>
      </c>
      <c r="G37" s="718">
        <f>huishoudens!F12</f>
        <v>0</v>
      </c>
      <c r="H37" s="718">
        <f>huishoudens!G12</f>
        <v>0</v>
      </c>
      <c r="I37" s="718">
        <f>huishoudens!H12</f>
        <v>0</v>
      </c>
      <c r="J37" s="718">
        <f>huishoudens!I12</f>
        <v>0</v>
      </c>
      <c r="K37" s="718">
        <f>huishoudens!J12</f>
        <v>650.32031439317041</v>
      </c>
      <c r="L37" s="718">
        <f>huishoudens!K12</f>
        <v>0</v>
      </c>
      <c r="M37" s="718">
        <f>huishoudens!L12</f>
        <v>0</v>
      </c>
      <c r="N37" s="718">
        <f>huishoudens!M12</f>
        <v>0</v>
      </c>
      <c r="O37" s="718">
        <f>huishoudens!N12</f>
        <v>0</v>
      </c>
      <c r="P37" s="718">
        <f>huishoudens!O12</f>
        <v>0</v>
      </c>
      <c r="Q37" s="828">
        <f>huishoudens!P12</f>
        <v>0</v>
      </c>
      <c r="R37" s="917">
        <f ca="1">SUM(C37:Q37)</f>
        <v>26528.985803699416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12493.96112362928</v>
      </c>
      <c r="D39" s="718">
        <f ca="1">industrie!C22</f>
        <v>0</v>
      </c>
      <c r="E39" s="718">
        <f>industrie!D22</f>
        <v>9226.5575714161478</v>
      </c>
      <c r="F39" s="718">
        <f>industrie!E22</f>
        <v>755.30273620499304</v>
      </c>
      <c r="G39" s="718">
        <f>industrie!F22</f>
        <v>3543.7315923717497</v>
      </c>
      <c r="H39" s="718">
        <f>industrie!G22</f>
        <v>0</v>
      </c>
      <c r="I39" s="718">
        <f>industrie!H22</f>
        <v>0</v>
      </c>
      <c r="J39" s="718">
        <f>industrie!I22</f>
        <v>0</v>
      </c>
      <c r="K39" s="718">
        <f>industrie!J22</f>
        <v>51.259489729724763</v>
      </c>
      <c r="L39" s="718">
        <f>industrie!K22</f>
        <v>0</v>
      </c>
      <c r="M39" s="718">
        <f>industrie!L22</f>
        <v>0</v>
      </c>
      <c r="N39" s="718">
        <f>industrie!M22</f>
        <v>0</v>
      </c>
      <c r="O39" s="718">
        <f>industrie!N22</f>
        <v>0</v>
      </c>
      <c r="P39" s="718">
        <f>industrie!O22</f>
        <v>0</v>
      </c>
      <c r="Q39" s="828">
        <f>industrie!P22</f>
        <v>0</v>
      </c>
      <c r="R39" s="918">
        <f ca="1">SUM(C39:Q39)</f>
        <v>26070.812513351899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22172.983325041292</v>
      </c>
      <c r="D41" s="763">
        <f t="shared" ref="D41:R41" ca="1" si="4">SUM(D35:D40)</f>
        <v>0</v>
      </c>
      <c r="E41" s="763">
        <f t="shared" ca="1" si="4"/>
        <v>33148.036892583172</v>
      </c>
      <c r="F41" s="763">
        <f t="shared" si="4"/>
        <v>1831.9749101444431</v>
      </c>
      <c r="G41" s="763">
        <f t="shared" ca="1" si="4"/>
        <v>4467.6083086723147</v>
      </c>
      <c r="H41" s="763">
        <f t="shared" si="4"/>
        <v>0</v>
      </c>
      <c r="I41" s="763">
        <f t="shared" si="4"/>
        <v>0</v>
      </c>
      <c r="J41" s="763">
        <f t="shared" si="4"/>
        <v>0</v>
      </c>
      <c r="K41" s="763">
        <f t="shared" si="4"/>
        <v>701.59321125026872</v>
      </c>
      <c r="L41" s="763">
        <f t="shared" si="4"/>
        <v>0</v>
      </c>
      <c r="M41" s="763">
        <f t="shared" ca="1" si="4"/>
        <v>0</v>
      </c>
      <c r="N41" s="763">
        <f t="shared" si="4"/>
        <v>0</v>
      </c>
      <c r="O41" s="763">
        <f t="shared" ca="1" si="4"/>
        <v>0</v>
      </c>
      <c r="P41" s="763">
        <f t="shared" si="4"/>
        <v>0</v>
      </c>
      <c r="Q41" s="764">
        <f t="shared" si="4"/>
        <v>0</v>
      </c>
      <c r="R41" s="765">
        <f t="shared" ca="1" si="4"/>
        <v>62322.196647691489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67.262518316505137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67.262518316505137</v>
      </c>
    </row>
    <row r="45" spans="1:18" ht="15" thickBot="1">
      <c r="A45" s="888" t="s">
        <v>307</v>
      </c>
      <c r="B45" s="898"/>
      <c r="C45" s="727">
        <f ca="1">transport!B18</f>
        <v>8.1647338722730449</v>
      </c>
      <c r="D45" s="727">
        <f>transport!C18</f>
        <v>0</v>
      </c>
      <c r="E45" s="727">
        <f>transport!D18</f>
        <v>33.666746850812324</v>
      </c>
      <c r="F45" s="727">
        <f>transport!E18</f>
        <v>53.780081063805078</v>
      </c>
      <c r="G45" s="727">
        <f>transport!F18</f>
        <v>0</v>
      </c>
      <c r="H45" s="727">
        <f>transport!G18</f>
        <v>25628.338373512677</v>
      </c>
      <c r="I45" s="727">
        <f>transport!H18</f>
        <v>4731.3982888887358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30455.348224188303</v>
      </c>
    </row>
    <row r="46" spans="1:18" ht="15.75" thickBot="1">
      <c r="A46" s="886" t="s">
        <v>230</v>
      </c>
      <c r="B46" s="899"/>
      <c r="C46" s="763">
        <f t="shared" ref="C46:R46" ca="1" si="5">SUM(C43:C45)</f>
        <v>8.1647338722730449</v>
      </c>
      <c r="D46" s="763">
        <f t="shared" ca="1" si="5"/>
        <v>0</v>
      </c>
      <c r="E46" s="763">
        <f t="shared" si="5"/>
        <v>33.666746850812324</v>
      </c>
      <c r="F46" s="763">
        <f t="shared" si="5"/>
        <v>53.780081063805078</v>
      </c>
      <c r="G46" s="763">
        <f t="shared" si="5"/>
        <v>0</v>
      </c>
      <c r="H46" s="763">
        <f t="shared" si="5"/>
        <v>25695.600891829181</v>
      </c>
      <c r="I46" s="763">
        <f t="shared" si="5"/>
        <v>4731.3982888887358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30522.610742504807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273.04208267079258</v>
      </c>
      <c r="D48" s="718">
        <f ca="1">+landbouw!C12</f>
        <v>0</v>
      </c>
      <c r="E48" s="718">
        <f>+landbouw!D12</f>
        <v>569.39001733163138</v>
      </c>
      <c r="F48" s="718">
        <f>+landbouw!E12</f>
        <v>10.537877653412734</v>
      </c>
      <c r="G48" s="718">
        <f>+landbouw!F12</f>
        <v>1756.7399221655294</v>
      </c>
      <c r="H48" s="718">
        <f>+landbouw!G12</f>
        <v>0</v>
      </c>
      <c r="I48" s="718">
        <f>+landbouw!H12</f>
        <v>0</v>
      </c>
      <c r="J48" s="718">
        <f>+landbouw!I12</f>
        <v>0</v>
      </c>
      <c r="K48" s="718">
        <f>+landbouw!J12</f>
        <v>81.000901836868323</v>
      </c>
      <c r="L48" s="718">
        <f>+landbouw!K12</f>
        <v>0</v>
      </c>
      <c r="M48" s="718">
        <f>+landbouw!L12</f>
        <v>0</v>
      </c>
      <c r="N48" s="718">
        <f>+landbouw!M12</f>
        <v>0</v>
      </c>
      <c r="O48" s="718">
        <f>+landbouw!N12</f>
        <v>0</v>
      </c>
      <c r="P48" s="718">
        <f>+landbouw!O12</f>
        <v>0</v>
      </c>
      <c r="Q48" s="719">
        <f>+landbouw!P12</f>
        <v>0</v>
      </c>
      <c r="R48" s="761">
        <f ca="1">SUM(C48:Q48)</f>
        <v>2690.7108016582342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22454.190141584357</v>
      </c>
      <c r="D53" s="773">
        <f t="shared" ref="D53:Q53" ca="1" si="6">D41+D46+D48</f>
        <v>0</v>
      </c>
      <c r="E53" s="773">
        <f t="shared" ca="1" si="6"/>
        <v>33751.09365676561</v>
      </c>
      <c r="F53" s="773">
        <f t="shared" si="6"/>
        <v>1896.292868861661</v>
      </c>
      <c r="G53" s="773">
        <f t="shared" ca="1" si="6"/>
        <v>6224.3482308378443</v>
      </c>
      <c r="H53" s="773">
        <f t="shared" si="6"/>
        <v>25695.600891829181</v>
      </c>
      <c r="I53" s="773">
        <f t="shared" si="6"/>
        <v>4731.3982888887358</v>
      </c>
      <c r="J53" s="773">
        <f t="shared" si="6"/>
        <v>0</v>
      </c>
      <c r="K53" s="773">
        <f t="shared" si="6"/>
        <v>782.59411308713709</v>
      </c>
      <c r="L53" s="773">
        <f t="shared" si="6"/>
        <v>0</v>
      </c>
      <c r="M53" s="773">
        <f t="shared" ca="1" si="6"/>
        <v>0</v>
      </c>
      <c r="N53" s="773">
        <f t="shared" si="6"/>
        <v>0</v>
      </c>
      <c r="O53" s="773">
        <f t="shared" ca="1" si="6"/>
        <v>0</v>
      </c>
      <c r="P53" s="773">
        <f>P41+P46+P48</f>
        <v>0</v>
      </c>
      <c r="Q53" s="774">
        <f t="shared" si="6"/>
        <v>0</v>
      </c>
      <c r="R53" s="775">
        <f ca="1">R41+R46+R48</f>
        <v>95535.518191854528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0.17288089842923179</v>
      </c>
      <c r="D55" s="836">
        <f t="shared" ca="1" si="7"/>
        <v>0</v>
      </c>
      <c r="E55" s="836">
        <f t="shared" ca="1" si="7"/>
        <v>0.20199999999999996</v>
      </c>
      <c r="F55" s="836">
        <f t="shared" si="7"/>
        <v>0.22700000000000001</v>
      </c>
      <c r="G55" s="836">
        <f t="shared" ca="1" si="7"/>
        <v>0.26700000000000007</v>
      </c>
      <c r="H55" s="836">
        <f t="shared" si="7"/>
        <v>0.26700000000000002</v>
      </c>
      <c r="I55" s="836">
        <f t="shared" si="7"/>
        <v>0.24900000000000003</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22046.125396070373</v>
      </c>
      <c r="C64" s="795">
        <f>'lokale energieproductie'!B4</f>
        <v>22046.125396070373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6233.6282238986078</v>
      </c>
      <c r="C66" s="795">
        <f>'lokale energieproductie'!B6</f>
        <v>6233.6282238986078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28279.753619968978</v>
      </c>
      <c r="C69" s="803">
        <f>SUM(C64:C68)</f>
        <v>28279.753619968978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35409.29973317375</v>
      </c>
      <c r="C4" s="478">
        <f>huishoudens!C8</f>
        <v>0</v>
      </c>
      <c r="D4" s="478">
        <f>huishoudens!D8</f>
        <v>92894.026756929205</v>
      </c>
      <c r="E4" s="478">
        <f>huishoudens!E8</f>
        <v>4372.1609417863774</v>
      </c>
      <c r="F4" s="478">
        <f>huishoudens!F8</f>
        <v>0</v>
      </c>
      <c r="G4" s="478">
        <f>huishoudens!G8</f>
        <v>0</v>
      </c>
      <c r="H4" s="478">
        <f>huishoudens!H8</f>
        <v>0</v>
      </c>
      <c r="I4" s="478">
        <f>huishoudens!I8</f>
        <v>0</v>
      </c>
      <c r="J4" s="478">
        <f>huishoudens!J8</f>
        <v>1837.0630350089559</v>
      </c>
      <c r="K4" s="478">
        <f>huishoudens!K8</f>
        <v>0</v>
      </c>
      <c r="L4" s="478">
        <f>huishoudens!L8</f>
        <v>0</v>
      </c>
      <c r="M4" s="478">
        <f>huishoudens!M8</f>
        <v>0</v>
      </c>
      <c r="N4" s="478">
        <f>huishoudens!N8</f>
        <v>17566.418522684929</v>
      </c>
      <c r="O4" s="478">
        <f>huishoudens!O8</f>
        <v>257.95</v>
      </c>
      <c r="P4" s="479">
        <f>huishoudens!P8</f>
        <v>610.13333333333333</v>
      </c>
      <c r="Q4" s="480">
        <f>SUM(B4:P4)</f>
        <v>152947.05232291654</v>
      </c>
    </row>
    <row r="5" spans="1:17">
      <c r="A5" s="477" t="s">
        <v>156</v>
      </c>
      <c r="B5" s="478">
        <f ca="1">tertiair!B16</f>
        <v>19211.588395527335</v>
      </c>
      <c r="C5" s="478">
        <f ca="1">tertiair!C16</f>
        <v>0</v>
      </c>
      <c r="D5" s="478">
        <f ca="1">tertiair!D16</f>
        <v>25529.138199343182</v>
      </c>
      <c r="E5" s="478">
        <f>tertiair!E16</f>
        <v>370.8882826164853</v>
      </c>
      <c r="F5" s="478">
        <f ca="1">tertiair!F16</f>
        <v>3460.2124206013664</v>
      </c>
      <c r="G5" s="478">
        <f>tertiair!G16</f>
        <v>0</v>
      </c>
      <c r="H5" s="478">
        <f>tertiair!H16</f>
        <v>0</v>
      </c>
      <c r="I5" s="478">
        <f>tertiair!I16</f>
        <v>0</v>
      </c>
      <c r="J5" s="478">
        <f>tertiair!J16</f>
        <v>3.7873241168053261E-2</v>
      </c>
      <c r="K5" s="478">
        <f>tertiair!K16</f>
        <v>0</v>
      </c>
      <c r="L5" s="478">
        <f ca="1">tertiair!L16</f>
        <v>0</v>
      </c>
      <c r="M5" s="478">
        <f>tertiair!M16</f>
        <v>0</v>
      </c>
      <c r="N5" s="478">
        <f ca="1">tertiair!N16</f>
        <v>1514.1122973055067</v>
      </c>
      <c r="O5" s="478">
        <f>tertiair!O16</f>
        <v>6.2533333333333339</v>
      </c>
      <c r="P5" s="479">
        <f>tertiair!P16</f>
        <v>38.133333333333333</v>
      </c>
      <c r="Q5" s="477">
        <f t="shared" ref="Q5:Q13" ca="1" si="0">SUM(B5:P5)</f>
        <v>50130.364135301716</v>
      </c>
    </row>
    <row r="6" spans="1:17">
      <c r="A6" s="477" t="s">
        <v>194</v>
      </c>
      <c r="B6" s="478">
        <f>'openbare verlichting'!B8</f>
        <v>1365.761</v>
      </c>
      <c r="C6" s="478"/>
      <c r="D6" s="478"/>
      <c r="E6" s="478"/>
      <c r="F6" s="478"/>
      <c r="G6" s="478"/>
      <c r="H6" s="478"/>
      <c r="I6" s="478"/>
      <c r="J6" s="478"/>
      <c r="K6" s="478"/>
      <c r="L6" s="478"/>
      <c r="M6" s="478"/>
      <c r="N6" s="478"/>
      <c r="O6" s="478"/>
      <c r="P6" s="479"/>
      <c r="Q6" s="477">
        <f t="shared" si="0"/>
        <v>1365.761</v>
      </c>
    </row>
    <row r="7" spans="1:17">
      <c r="A7" s="477" t="s">
        <v>112</v>
      </c>
      <c r="B7" s="478">
        <f>landbouw!B8</f>
        <v>1579.3652459676534</v>
      </c>
      <c r="C7" s="478">
        <f>landbouw!C8</f>
        <v>0</v>
      </c>
      <c r="D7" s="478">
        <f>landbouw!D8</f>
        <v>2818.7624620377792</v>
      </c>
      <c r="E7" s="478">
        <f>landbouw!E8</f>
        <v>46.422368517236713</v>
      </c>
      <c r="F7" s="478">
        <f>landbouw!F8</f>
        <v>6579.5502702828808</v>
      </c>
      <c r="G7" s="478">
        <f>landbouw!G8</f>
        <v>0</v>
      </c>
      <c r="H7" s="478">
        <f>landbouw!H8</f>
        <v>0</v>
      </c>
      <c r="I7" s="478">
        <f>landbouw!I8</f>
        <v>0</v>
      </c>
      <c r="J7" s="478">
        <f>landbouw!J8</f>
        <v>228.81610688380883</v>
      </c>
      <c r="K7" s="478">
        <f>landbouw!K8</f>
        <v>0</v>
      </c>
      <c r="L7" s="478">
        <f>landbouw!L8</f>
        <v>0</v>
      </c>
      <c r="M7" s="478">
        <f>landbouw!M8</f>
        <v>0</v>
      </c>
      <c r="N7" s="478">
        <f>landbouw!N8</f>
        <v>0</v>
      </c>
      <c r="O7" s="478">
        <f>landbouw!O8</f>
        <v>0</v>
      </c>
      <c r="P7" s="479">
        <f>landbouw!P8</f>
        <v>0</v>
      </c>
      <c r="Q7" s="477">
        <f t="shared" si="0"/>
        <v>11252.916453689359</v>
      </c>
    </row>
    <row r="8" spans="1:17">
      <c r="A8" s="477" t="s">
        <v>635</v>
      </c>
      <c r="B8" s="478">
        <f>industrie!B18</f>
        <v>72269.182062028907</v>
      </c>
      <c r="C8" s="478">
        <f>industrie!C18</f>
        <v>0</v>
      </c>
      <c r="D8" s="478">
        <f>industrie!D18</f>
        <v>45676.027581268056</v>
      </c>
      <c r="E8" s="478">
        <f>industrie!E18</f>
        <v>3327.3248290968854</v>
      </c>
      <c r="F8" s="478">
        <f>industrie!F18</f>
        <v>13272.402967684455</v>
      </c>
      <c r="G8" s="478">
        <f>industrie!G18</f>
        <v>0</v>
      </c>
      <c r="H8" s="478">
        <f>industrie!H18</f>
        <v>0</v>
      </c>
      <c r="I8" s="478">
        <f>industrie!I18</f>
        <v>0</v>
      </c>
      <c r="J8" s="478">
        <f>industrie!J18</f>
        <v>144.80081844555019</v>
      </c>
      <c r="K8" s="478">
        <f>industrie!K18</f>
        <v>0</v>
      </c>
      <c r="L8" s="478">
        <f>industrie!L18</f>
        <v>0</v>
      </c>
      <c r="M8" s="478">
        <f>industrie!M18</f>
        <v>0</v>
      </c>
      <c r="N8" s="478">
        <f>industrie!N18</f>
        <v>14350.575074538423</v>
      </c>
      <c r="O8" s="478">
        <f>industrie!O18</f>
        <v>0</v>
      </c>
      <c r="P8" s="479">
        <f>industrie!P18</f>
        <v>0</v>
      </c>
      <c r="Q8" s="477">
        <f t="shared" si="0"/>
        <v>149040.31333306225</v>
      </c>
    </row>
    <row r="9" spans="1:17" s="483" customFormat="1">
      <c r="A9" s="481" t="s">
        <v>561</v>
      </c>
      <c r="B9" s="482">
        <f>transport!B14</f>
        <v>47.227507182438963</v>
      </c>
      <c r="C9" s="482">
        <f>transport!C14</f>
        <v>0</v>
      </c>
      <c r="D9" s="482">
        <f>transport!D14</f>
        <v>166.66706361788277</v>
      </c>
      <c r="E9" s="482">
        <f>transport!E14</f>
        <v>236.91665666874482</v>
      </c>
      <c r="F9" s="482">
        <f>transport!F14</f>
        <v>0</v>
      </c>
      <c r="G9" s="482">
        <f>transport!G14</f>
        <v>95986.286043118642</v>
      </c>
      <c r="H9" s="482">
        <f>transport!H14</f>
        <v>19001.599553770022</v>
      </c>
      <c r="I9" s="482">
        <f>transport!I14</f>
        <v>0</v>
      </c>
      <c r="J9" s="482">
        <f>transport!J14</f>
        <v>0</v>
      </c>
      <c r="K9" s="482">
        <f>transport!K14</f>
        <v>0</v>
      </c>
      <c r="L9" s="482">
        <f>transport!L14</f>
        <v>0</v>
      </c>
      <c r="M9" s="482">
        <f>transport!M14</f>
        <v>6172.0331539593544</v>
      </c>
      <c r="N9" s="482">
        <f>transport!N14</f>
        <v>0</v>
      </c>
      <c r="O9" s="482">
        <f>transport!O14</f>
        <v>0</v>
      </c>
      <c r="P9" s="482">
        <f>transport!P14</f>
        <v>0</v>
      </c>
      <c r="Q9" s="481">
        <f>SUM(B9:P9)</f>
        <v>121610.72997831709</v>
      </c>
    </row>
    <row r="10" spans="1:17">
      <c r="A10" s="477" t="s">
        <v>551</v>
      </c>
      <c r="B10" s="478">
        <f>transport!B54</f>
        <v>0</v>
      </c>
      <c r="C10" s="478">
        <f>transport!C54</f>
        <v>0</v>
      </c>
      <c r="D10" s="478">
        <f>transport!D54</f>
        <v>0</v>
      </c>
      <c r="E10" s="478">
        <f>transport!E54</f>
        <v>0</v>
      </c>
      <c r="F10" s="478">
        <f>transport!F54</f>
        <v>0</v>
      </c>
      <c r="G10" s="478">
        <f>transport!G54</f>
        <v>251.91954425657352</v>
      </c>
      <c r="H10" s="478">
        <f>transport!H54</f>
        <v>0</v>
      </c>
      <c r="I10" s="478">
        <f>transport!I54</f>
        <v>0</v>
      </c>
      <c r="J10" s="478">
        <f>transport!J54</f>
        <v>0</v>
      </c>
      <c r="K10" s="478">
        <f>transport!K54</f>
        <v>0</v>
      </c>
      <c r="L10" s="478">
        <f>transport!L54</f>
        <v>0</v>
      </c>
      <c r="M10" s="478">
        <f>transport!M54</f>
        <v>14.307917995702493</v>
      </c>
      <c r="N10" s="478">
        <f>transport!N54</f>
        <v>0</v>
      </c>
      <c r="O10" s="478">
        <f>transport!O54</f>
        <v>0</v>
      </c>
      <c r="P10" s="479">
        <f>transport!P54</f>
        <v>0</v>
      </c>
      <c r="Q10" s="477">
        <f t="shared" si="0"/>
        <v>266.22746225227598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129882.42394388009</v>
      </c>
      <c r="C14" s="488">
        <f t="shared" ref="C14:Q14" ca="1" si="1">SUM(C4:C13)</f>
        <v>0</v>
      </c>
      <c r="D14" s="488">
        <f t="shared" ca="1" si="1"/>
        <v>167084.62206319609</v>
      </c>
      <c r="E14" s="488">
        <f t="shared" si="1"/>
        <v>8353.7130786857306</v>
      </c>
      <c r="F14" s="488">
        <f t="shared" ca="1" si="1"/>
        <v>23312.165658568701</v>
      </c>
      <c r="G14" s="488">
        <f t="shared" si="1"/>
        <v>96238.205587375211</v>
      </c>
      <c r="H14" s="488">
        <f t="shared" si="1"/>
        <v>19001.599553770022</v>
      </c>
      <c r="I14" s="488">
        <f t="shared" si="1"/>
        <v>0</v>
      </c>
      <c r="J14" s="488">
        <f t="shared" si="1"/>
        <v>2210.7178335794829</v>
      </c>
      <c r="K14" s="488">
        <f t="shared" si="1"/>
        <v>0</v>
      </c>
      <c r="L14" s="488">
        <f t="shared" ca="1" si="1"/>
        <v>0</v>
      </c>
      <c r="M14" s="488">
        <f t="shared" si="1"/>
        <v>6186.3410719550566</v>
      </c>
      <c r="N14" s="488">
        <f t="shared" ca="1" si="1"/>
        <v>33431.105894528861</v>
      </c>
      <c r="O14" s="488">
        <f t="shared" si="1"/>
        <v>264.20333333333332</v>
      </c>
      <c r="P14" s="489">
        <f t="shared" si="1"/>
        <v>648.26666666666665</v>
      </c>
      <c r="Q14" s="489">
        <f t="shared" ca="1" si="1"/>
        <v>486613.36468553921</v>
      </c>
    </row>
    <row r="16" spans="1:17">
      <c r="A16" s="491" t="s">
        <v>556</v>
      </c>
      <c r="B16" s="841">
        <f ca="1">huishoudens!B10</f>
        <v>0.17288089842923179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6121.5915506210358</v>
      </c>
      <c r="C21" s="478">
        <f t="shared" ref="C21:C30" ca="1" si="3">C4*$C$16</f>
        <v>0</v>
      </c>
      <c r="D21" s="478">
        <f t="shared" ref="D21:D30" si="4">D4*$D$16</f>
        <v>18764.593404899701</v>
      </c>
      <c r="E21" s="478">
        <f t="shared" ref="E21:E30" si="5">E4*$E$16</f>
        <v>992.48053378550776</v>
      </c>
      <c r="F21" s="478">
        <f t="shared" ref="F21:F30" si="6">F4*$F$16</f>
        <v>0</v>
      </c>
      <c r="G21" s="478">
        <f t="shared" ref="G21:G30" si="7">G4*$G$16</f>
        <v>0</v>
      </c>
      <c r="H21" s="478">
        <f t="shared" ref="H21:H30" si="8">H4*$H$16</f>
        <v>0</v>
      </c>
      <c r="I21" s="478">
        <f t="shared" ref="I21:I30" si="9">I4*$I$16</f>
        <v>0</v>
      </c>
      <c r="J21" s="478">
        <f t="shared" ref="J21:J30" si="10">J4*$J$16</f>
        <v>650.32031439317041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26528.985803699416</v>
      </c>
    </row>
    <row r="22" spans="1:17">
      <c r="A22" s="477" t="s">
        <v>156</v>
      </c>
      <c r="B22" s="478">
        <f t="shared" ca="1" si="2"/>
        <v>3321.3166620713696</v>
      </c>
      <c r="C22" s="478">
        <f t="shared" ca="1" si="3"/>
        <v>0</v>
      </c>
      <c r="D22" s="478">
        <f t="shared" ca="1" si="4"/>
        <v>5156.8859162673234</v>
      </c>
      <c r="E22" s="478">
        <f t="shared" si="5"/>
        <v>84.19164015394216</v>
      </c>
      <c r="F22" s="478">
        <f t="shared" ca="1" si="6"/>
        <v>923.87671630056491</v>
      </c>
      <c r="G22" s="478">
        <f t="shared" si="7"/>
        <v>0</v>
      </c>
      <c r="H22" s="478">
        <f t="shared" si="8"/>
        <v>0</v>
      </c>
      <c r="I22" s="478">
        <f t="shared" si="9"/>
        <v>0</v>
      </c>
      <c r="J22" s="478">
        <f t="shared" si="10"/>
        <v>1.3407127373490854E-2</v>
      </c>
      <c r="K22" s="478">
        <f t="shared" si="11"/>
        <v>0</v>
      </c>
      <c r="L22" s="478">
        <f t="shared" ca="1" si="12"/>
        <v>0</v>
      </c>
      <c r="M22" s="478">
        <f t="shared" si="13"/>
        <v>0</v>
      </c>
      <c r="N22" s="478">
        <f t="shared" ca="1" si="14"/>
        <v>0</v>
      </c>
      <c r="O22" s="478">
        <f t="shared" si="15"/>
        <v>0</v>
      </c>
      <c r="P22" s="479">
        <f t="shared" si="16"/>
        <v>0</v>
      </c>
      <c r="Q22" s="477">
        <f t="shared" ref="Q22:Q30" ca="1" si="17">SUM(B22:P22)</f>
        <v>9486.2843419205728</v>
      </c>
    </row>
    <row r="23" spans="1:17">
      <c r="A23" s="477" t="s">
        <v>194</v>
      </c>
      <c r="B23" s="478">
        <f t="shared" ca="1" si="2"/>
        <v>236.11398871960603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236.11398871960603</v>
      </c>
    </row>
    <row r="24" spans="1:17">
      <c r="A24" s="477" t="s">
        <v>112</v>
      </c>
      <c r="B24" s="478">
        <f t="shared" ca="1" si="2"/>
        <v>273.04208267079258</v>
      </c>
      <c r="C24" s="478">
        <f t="shared" ca="1" si="3"/>
        <v>0</v>
      </c>
      <c r="D24" s="478">
        <f t="shared" si="4"/>
        <v>569.39001733163138</v>
      </c>
      <c r="E24" s="478">
        <f t="shared" si="5"/>
        <v>10.537877653412734</v>
      </c>
      <c r="F24" s="478">
        <f t="shared" si="6"/>
        <v>1756.7399221655294</v>
      </c>
      <c r="G24" s="478">
        <f t="shared" si="7"/>
        <v>0</v>
      </c>
      <c r="H24" s="478">
        <f t="shared" si="8"/>
        <v>0</v>
      </c>
      <c r="I24" s="478">
        <f t="shared" si="9"/>
        <v>0</v>
      </c>
      <c r="J24" s="478">
        <f t="shared" si="10"/>
        <v>81.000901836868323</v>
      </c>
      <c r="K24" s="478">
        <f t="shared" si="11"/>
        <v>0</v>
      </c>
      <c r="L24" s="478">
        <f t="shared" si="12"/>
        <v>0</v>
      </c>
      <c r="M24" s="478">
        <f t="shared" si="13"/>
        <v>0</v>
      </c>
      <c r="N24" s="478">
        <f t="shared" si="14"/>
        <v>0</v>
      </c>
      <c r="O24" s="478">
        <f t="shared" si="15"/>
        <v>0</v>
      </c>
      <c r="P24" s="479">
        <f t="shared" si="16"/>
        <v>0</v>
      </c>
      <c r="Q24" s="477">
        <f t="shared" ca="1" si="17"/>
        <v>2690.7108016582342</v>
      </c>
    </row>
    <row r="25" spans="1:17">
      <c r="A25" s="477" t="s">
        <v>635</v>
      </c>
      <c r="B25" s="478">
        <f t="shared" ca="1" si="2"/>
        <v>12493.96112362928</v>
      </c>
      <c r="C25" s="478">
        <f t="shared" ca="1" si="3"/>
        <v>0</v>
      </c>
      <c r="D25" s="478">
        <f t="shared" si="4"/>
        <v>9226.5575714161478</v>
      </c>
      <c r="E25" s="478">
        <f t="shared" si="5"/>
        <v>755.30273620499304</v>
      </c>
      <c r="F25" s="478">
        <f t="shared" si="6"/>
        <v>3543.7315923717497</v>
      </c>
      <c r="G25" s="478">
        <f t="shared" si="7"/>
        <v>0</v>
      </c>
      <c r="H25" s="478">
        <f t="shared" si="8"/>
        <v>0</v>
      </c>
      <c r="I25" s="478">
        <f t="shared" si="9"/>
        <v>0</v>
      </c>
      <c r="J25" s="478">
        <f t="shared" si="10"/>
        <v>51.259489729724763</v>
      </c>
      <c r="K25" s="478">
        <f t="shared" si="11"/>
        <v>0</v>
      </c>
      <c r="L25" s="478">
        <f t="shared" si="12"/>
        <v>0</v>
      </c>
      <c r="M25" s="478">
        <f t="shared" si="13"/>
        <v>0</v>
      </c>
      <c r="N25" s="478">
        <f t="shared" si="14"/>
        <v>0</v>
      </c>
      <c r="O25" s="478">
        <f t="shared" si="15"/>
        <v>0</v>
      </c>
      <c r="P25" s="479">
        <f t="shared" si="16"/>
        <v>0</v>
      </c>
      <c r="Q25" s="477">
        <f t="shared" ca="1" si="17"/>
        <v>26070.812513351899</v>
      </c>
    </row>
    <row r="26" spans="1:17" s="483" customFormat="1">
      <c r="A26" s="481" t="s">
        <v>561</v>
      </c>
      <c r="B26" s="835">
        <f t="shared" ca="1" si="2"/>
        <v>8.1647338722730449</v>
      </c>
      <c r="C26" s="482">
        <f t="shared" ca="1" si="3"/>
        <v>0</v>
      </c>
      <c r="D26" s="482">
        <f t="shared" si="4"/>
        <v>33.666746850812324</v>
      </c>
      <c r="E26" s="482">
        <f t="shared" si="5"/>
        <v>53.780081063805078</v>
      </c>
      <c r="F26" s="482">
        <f t="shared" si="6"/>
        <v>0</v>
      </c>
      <c r="G26" s="482">
        <f t="shared" si="7"/>
        <v>25628.338373512677</v>
      </c>
      <c r="H26" s="482">
        <f t="shared" si="8"/>
        <v>4731.3982888887358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30455.348224188303</v>
      </c>
    </row>
    <row r="27" spans="1:17">
      <c r="A27" s="477" t="s">
        <v>551</v>
      </c>
      <c r="B27" s="478">
        <f t="shared" ca="1" si="2"/>
        <v>0</v>
      </c>
      <c r="C27" s="478">
        <f t="shared" ca="1" si="3"/>
        <v>0</v>
      </c>
      <c r="D27" s="478">
        <f t="shared" si="4"/>
        <v>0</v>
      </c>
      <c r="E27" s="478">
        <f t="shared" si="5"/>
        <v>0</v>
      </c>
      <c r="F27" s="478">
        <f t="shared" si="6"/>
        <v>0</v>
      </c>
      <c r="G27" s="478">
        <f t="shared" si="7"/>
        <v>67.262518316505137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67.262518316505137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22454.190141584357</v>
      </c>
      <c r="C31" s="488">
        <f t="shared" ca="1" si="18"/>
        <v>0</v>
      </c>
      <c r="D31" s="488">
        <f t="shared" ca="1" si="18"/>
        <v>33751.093656765617</v>
      </c>
      <c r="E31" s="488">
        <f t="shared" si="18"/>
        <v>1896.2928688616607</v>
      </c>
      <c r="F31" s="488">
        <f t="shared" ca="1" si="18"/>
        <v>6224.3482308378443</v>
      </c>
      <c r="G31" s="488">
        <f t="shared" si="18"/>
        <v>25695.600891829181</v>
      </c>
      <c r="H31" s="488">
        <f t="shared" si="18"/>
        <v>4731.3982888887358</v>
      </c>
      <c r="I31" s="488">
        <f t="shared" si="18"/>
        <v>0</v>
      </c>
      <c r="J31" s="488">
        <f t="shared" si="18"/>
        <v>782.59411308713709</v>
      </c>
      <c r="K31" s="488">
        <f t="shared" si="18"/>
        <v>0</v>
      </c>
      <c r="L31" s="488">
        <f t="shared" ca="1" si="18"/>
        <v>0</v>
      </c>
      <c r="M31" s="488">
        <f t="shared" si="18"/>
        <v>0</v>
      </c>
      <c r="N31" s="488">
        <f t="shared" ca="1" si="18"/>
        <v>0</v>
      </c>
      <c r="O31" s="488">
        <f t="shared" si="18"/>
        <v>0</v>
      </c>
      <c r="P31" s="489">
        <f t="shared" si="18"/>
        <v>0</v>
      </c>
      <c r="Q31" s="489">
        <f t="shared" ca="1" si="18"/>
        <v>95535.518191854528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0.17288089842923179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0.17288089842923179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0.17288089842923179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8289</v>
      </c>
      <c r="C9" s="342">
        <v>8658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1965.34</v>
      </c>
    </row>
    <row r="15" spans="1:6">
      <c r="A15" s="348" t="s">
        <v>184</v>
      </c>
      <c r="B15" s="334">
        <v>40</v>
      </c>
    </row>
    <row r="16" spans="1:6">
      <c r="A16" s="348" t="s">
        <v>6</v>
      </c>
      <c r="B16" s="334">
        <v>1439</v>
      </c>
    </row>
    <row r="17" spans="1:6">
      <c r="A17" s="348" t="s">
        <v>7</v>
      </c>
      <c r="B17" s="334">
        <v>871</v>
      </c>
    </row>
    <row r="18" spans="1:6">
      <c r="A18" s="348" t="s">
        <v>8</v>
      </c>
      <c r="B18" s="334">
        <v>1412</v>
      </c>
    </row>
    <row r="19" spans="1:6">
      <c r="A19" s="348" t="s">
        <v>9</v>
      </c>
      <c r="B19" s="334">
        <v>1398</v>
      </c>
    </row>
    <row r="20" spans="1:6">
      <c r="A20" s="348" t="s">
        <v>10</v>
      </c>
      <c r="B20" s="334">
        <v>1420</v>
      </c>
    </row>
    <row r="21" spans="1:6">
      <c r="A21" s="348" t="s">
        <v>11</v>
      </c>
      <c r="B21" s="334">
        <v>2566</v>
      </c>
    </row>
    <row r="22" spans="1:6">
      <c r="A22" s="348" t="s">
        <v>12</v>
      </c>
      <c r="B22" s="334">
        <v>5146</v>
      </c>
    </row>
    <row r="23" spans="1:6">
      <c r="A23" s="348" t="s">
        <v>13</v>
      </c>
      <c r="B23" s="334">
        <v>47</v>
      </c>
    </row>
    <row r="24" spans="1:6">
      <c r="A24" s="348" t="s">
        <v>14</v>
      </c>
      <c r="B24" s="334">
        <v>4</v>
      </c>
    </row>
    <row r="25" spans="1:6">
      <c r="A25" s="348" t="s">
        <v>15</v>
      </c>
      <c r="B25" s="334">
        <v>627</v>
      </c>
    </row>
    <row r="26" spans="1:6">
      <c r="A26" s="348" t="s">
        <v>16</v>
      </c>
      <c r="B26" s="334">
        <v>50</v>
      </c>
    </row>
    <row r="27" spans="1:6">
      <c r="A27" s="348" t="s">
        <v>17</v>
      </c>
      <c r="B27" s="334">
        <v>253</v>
      </c>
    </row>
    <row r="28" spans="1:6" s="356" customFormat="1">
      <c r="A28" s="355" t="s">
        <v>18</v>
      </c>
      <c r="B28" s="355">
        <v>147330</v>
      </c>
    </row>
    <row r="29" spans="1:6">
      <c r="A29" s="355" t="s">
        <v>744</v>
      </c>
      <c r="B29" s="355">
        <v>105</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6547.8743650859997</v>
      </c>
    </row>
    <row r="37" spans="1:6">
      <c r="A37" s="348" t="s">
        <v>25</v>
      </c>
      <c r="B37" s="348" t="s">
        <v>28</v>
      </c>
      <c r="C37" s="334">
        <v>0</v>
      </c>
      <c r="D37" s="334">
        <v>0</v>
      </c>
      <c r="E37" s="334">
        <v>0</v>
      </c>
      <c r="F37" s="334">
        <v>0</v>
      </c>
    </row>
    <row r="38" spans="1:6">
      <c r="A38" s="348" t="s">
        <v>25</v>
      </c>
      <c r="B38" s="348" t="s">
        <v>29</v>
      </c>
      <c r="C38" s="334">
        <v>0</v>
      </c>
      <c r="D38" s="334">
        <v>0</v>
      </c>
      <c r="E38" s="334">
        <v>4</v>
      </c>
      <c r="F38" s="334">
        <v>42530.27719647</v>
      </c>
    </row>
    <row r="39" spans="1:6">
      <c r="A39" s="348" t="s">
        <v>30</v>
      </c>
      <c r="B39" s="348" t="s">
        <v>31</v>
      </c>
      <c r="C39" s="334">
        <v>6253</v>
      </c>
      <c r="D39" s="334">
        <v>102986725.8946</v>
      </c>
      <c r="E39" s="334">
        <v>8210</v>
      </c>
      <c r="F39" s="334">
        <v>31963687.0719418</v>
      </c>
    </row>
    <row r="40" spans="1:6">
      <c r="A40" s="348" t="s">
        <v>30</v>
      </c>
      <c r="B40" s="348" t="s">
        <v>29</v>
      </c>
      <c r="C40" s="334">
        <v>0</v>
      </c>
      <c r="D40" s="334">
        <v>0</v>
      </c>
      <c r="E40" s="334">
        <v>0</v>
      </c>
      <c r="F40" s="334">
        <v>0</v>
      </c>
    </row>
    <row r="41" spans="1:6">
      <c r="A41" s="348" t="s">
        <v>32</v>
      </c>
      <c r="B41" s="348" t="s">
        <v>33</v>
      </c>
      <c r="C41" s="334">
        <v>112</v>
      </c>
      <c r="D41" s="334">
        <v>3811670.2885006899</v>
      </c>
      <c r="E41" s="334">
        <v>269</v>
      </c>
      <c r="F41" s="334">
        <v>3454635.6975305001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218237.14861353501</v>
      </c>
      <c r="E44" s="334">
        <v>19</v>
      </c>
      <c r="F44" s="334">
        <v>1614642.2697214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826296.79407101998</v>
      </c>
      <c r="E47" s="334">
        <v>3</v>
      </c>
      <c r="F47" s="334">
        <v>888638.03421472898</v>
      </c>
    </row>
    <row r="48" spans="1:6">
      <c r="A48" s="348" t="s">
        <v>32</v>
      </c>
      <c r="B48" s="348" t="s">
        <v>29</v>
      </c>
      <c r="C48" s="334">
        <v>38</v>
      </c>
      <c r="D48" s="334">
        <v>38415388.9875324</v>
      </c>
      <c r="E48" s="334">
        <v>44</v>
      </c>
      <c r="F48" s="334">
        <v>40408980.623645402</v>
      </c>
    </row>
    <row r="49" spans="1:6">
      <c r="A49" s="348" t="s">
        <v>32</v>
      </c>
      <c r="B49" s="348" t="s">
        <v>40</v>
      </c>
      <c r="C49" s="334">
        <v>0</v>
      </c>
      <c r="D49" s="334">
        <v>0</v>
      </c>
      <c r="E49" s="334">
        <v>6</v>
      </c>
      <c r="F49" s="334">
        <v>17960152.537277602</v>
      </c>
    </row>
    <row r="50" spans="1:6">
      <c r="A50" s="348" t="s">
        <v>32</v>
      </c>
      <c r="B50" s="348" t="s">
        <v>41</v>
      </c>
      <c r="C50" s="334">
        <v>23</v>
      </c>
      <c r="D50" s="334">
        <v>7367018.2904487103</v>
      </c>
      <c r="E50" s="334">
        <v>28</v>
      </c>
      <c r="F50" s="334">
        <v>7942132.8996392796</v>
      </c>
    </row>
    <row r="51" spans="1:6">
      <c r="A51" s="348" t="s">
        <v>42</v>
      </c>
      <c r="B51" s="348" t="s">
        <v>43</v>
      </c>
      <c r="C51" s="334">
        <v>13</v>
      </c>
      <c r="D51" s="334">
        <v>186198.428407717</v>
      </c>
      <c r="E51" s="334">
        <v>86</v>
      </c>
      <c r="F51" s="334">
        <v>1513311.2570848099</v>
      </c>
    </row>
    <row r="52" spans="1:6">
      <c r="A52" s="348" t="s">
        <v>42</v>
      </c>
      <c r="B52" s="348" t="s">
        <v>29</v>
      </c>
      <c r="C52" s="334">
        <v>11</v>
      </c>
      <c r="D52" s="334">
        <v>611811.66793137998</v>
      </c>
      <c r="E52" s="334">
        <v>9</v>
      </c>
      <c r="F52" s="334">
        <v>66053.988882843303</v>
      </c>
    </row>
    <row r="53" spans="1:6">
      <c r="A53" s="348" t="s">
        <v>44</v>
      </c>
      <c r="B53" s="348" t="s">
        <v>45</v>
      </c>
      <c r="C53" s="334">
        <v>153</v>
      </c>
      <c r="D53" s="334">
        <v>2327003.7196673099</v>
      </c>
      <c r="E53" s="334">
        <v>300</v>
      </c>
      <c r="F53" s="334">
        <v>2540939.59271415</v>
      </c>
    </row>
    <row r="54" spans="1:6">
      <c r="A54" s="348" t="s">
        <v>46</v>
      </c>
      <c r="B54" s="348" t="s">
        <v>47</v>
      </c>
      <c r="C54" s="334">
        <v>0</v>
      </c>
      <c r="D54" s="334">
        <v>0</v>
      </c>
      <c r="E54" s="334">
        <v>1</v>
      </c>
      <c r="F54" s="334">
        <v>1365761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1585606.3717229799</v>
      </c>
      <c r="E57" s="334">
        <v>51</v>
      </c>
      <c r="F57" s="334">
        <v>1423949.40850546</v>
      </c>
    </row>
    <row r="58" spans="1:6">
      <c r="A58" s="348" t="s">
        <v>49</v>
      </c>
      <c r="B58" s="348" t="s">
        <v>51</v>
      </c>
      <c r="C58" s="334">
        <v>38</v>
      </c>
      <c r="D58" s="334">
        <v>2875574.25821327</v>
      </c>
      <c r="E58" s="334">
        <v>52</v>
      </c>
      <c r="F58" s="334">
        <v>524613.03793000698</v>
      </c>
    </row>
    <row r="59" spans="1:6">
      <c r="A59" s="348" t="s">
        <v>49</v>
      </c>
      <c r="B59" s="348" t="s">
        <v>52</v>
      </c>
      <c r="C59" s="334">
        <v>108</v>
      </c>
      <c r="D59" s="334">
        <v>4377789.1063289503</v>
      </c>
      <c r="E59" s="334">
        <v>205</v>
      </c>
      <c r="F59" s="334">
        <v>8362451.7694907198</v>
      </c>
    </row>
    <row r="60" spans="1:6">
      <c r="A60" s="348" t="s">
        <v>49</v>
      </c>
      <c r="B60" s="348" t="s">
        <v>53</v>
      </c>
      <c r="C60" s="334">
        <v>56</v>
      </c>
      <c r="D60" s="334">
        <v>1713917.15612044</v>
      </c>
      <c r="E60" s="334">
        <v>70</v>
      </c>
      <c r="F60" s="334">
        <v>1129153.68994937</v>
      </c>
    </row>
    <row r="61" spans="1:6">
      <c r="A61" s="348" t="s">
        <v>49</v>
      </c>
      <c r="B61" s="348" t="s">
        <v>54</v>
      </c>
      <c r="C61" s="334">
        <v>154</v>
      </c>
      <c r="D61" s="334">
        <v>8806185.2377808206</v>
      </c>
      <c r="E61" s="334">
        <v>271</v>
      </c>
      <c r="F61" s="334">
        <v>3971174.78379936</v>
      </c>
    </row>
    <row r="62" spans="1:6">
      <c r="A62" s="348" t="s">
        <v>49</v>
      </c>
      <c r="B62" s="348" t="s">
        <v>55</v>
      </c>
      <c r="C62" s="334">
        <v>16</v>
      </c>
      <c r="D62" s="334">
        <v>3177573.0146259898</v>
      </c>
      <c r="E62" s="334">
        <v>22</v>
      </c>
      <c r="F62" s="334">
        <v>924008.39396163099</v>
      </c>
    </row>
    <row r="63" spans="1:6">
      <c r="A63" s="348" t="s">
        <v>49</v>
      </c>
      <c r="B63" s="348" t="s">
        <v>29</v>
      </c>
      <c r="C63" s="334">
        <v>109</v>
      </c>
      <c r="D63" s="334">
        <v>5766168.82343724</v>
      </c>
      <c r="E63" s="334">
        <v>112</v>
      </c>
      <c r="F63" s="334">
        <v>2876237.3118907898</v>
      </c>
    </row>
    <row r="64" spans="1:6">
      <c r="A64" s="348" t="s">
        <v>56</v>
      </c>
      <c r="B64" s="348" t="s">
        <v>57</v>
      </c>
      <c r="C64" s="334">
        <v>0</v>
      </c>
      <c r="D64" s="334">
        <v>0</v>
      </c>
      <c r="E64" s="334">
        <v>0</v>
      </c>
      <c r="F64" s="334">
        <v>0</v>
      </c>
    </row>
    <row r="65" spans="1:6">
      <c r="A65" s="348" t="s">
        <v>56</v>
      </c>
      <c r="B65" s="348" t="s">
        <v>29</v>
      </c>
      <c r="C65" s="334">
        <v>5</v>
      </c>
      <c r="D65" s="334">
        <v>148217.518779798</v>
      </c>
      <c r="E65" s="334">
        <v>4</v>
      </c>
      <c r="F65" s="334">
        <v>26875.049924729199</v>
      </c>
    </row>
    <row r="66" spans="1:6">
      <c r="A66" s="348" t="s">
        <v>56</v>
      </c>
      <c r="B66" s="348" t="s">
        <v>58</v>
      </c>
      <c r="C66" s="334">
        <v>0</v>
      </c>
      <c r="D66" s="334">
        <v>0</v>
      </c>
      <c r="E66" s="334">
        <v>7</v>
      </c>
      <c r="F66" s="334">
        <v>115929.365609446</v>
      </c>
    </row>
    <row r="67" spans="1:6">
      <c r="A67" s="355" t="s">
        <v>56</v>
      </c>
      <c r="B67" s="355" t="s">
        <v>59</v>
      </c>
      <c r="C67" s="334">
        <v>0</v>
      </c>
      <c r="D67" s="334">
        <v>0</v>
      </c>
      <c r="E67" s="334">
        <v>0</v>
      </c>
      <c r="F67" s="334">
        <v>0</v>
      </c>
    </row>
    <row r="68" spans="1:6">
      <c r="A68" s="341" t="s">
        <v>56</v>
      </c>
      <c r="B68" s="341" t="s">
        <v>60</v>
      </c>
      <c r="C68" s="334">
        <v>6</v>
      </c>
      <c r="D68" s="334">
        <v>987373.37910912104</v>
      </c>
      <c r="E68" s="334">
        <v>15</v>
      </c>
      <c r="F68" s="334">
        <v>960909.10084674601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59710483</v>
      </c>
      <c r="E73" s="476">
        <v>63632854.548380055</v>
      </c>
    </row>
    <row r="74" spans="1:6">
      <c r="A74" s="348" t="s">
        <v>64</v>
      </c>
      <c r="B74" s="348" t="s">
        <v>657</v>
      </c>
      <c r="C74" s="1213" t="s">
        <v>659</v>
      </c>
      <c r="D74" s="476">
        <v>5366113.3314213287</v>
      </c>
      <c r="E74" s="476">
        <v>5556150.8678774405</v>
      </c>
    </row>
    <row r="75" spans="1:6">
      <c r="A75" s="348" t="s">
        <v>65</v>
      </c>
      <c r="B75" s="348" t="s">
        <v>656</v>
      </c>
      <c r="C75" s="1213" t="s">
        <v>660</v>
      </c>
      <c r="D75" s="476">
        <v>25162916</v>
      </c>
      <c r="E75" s="476">
        <v>26879372.879290909</v>
      </c>
    </row>
    <row r="76" spans="1:6">
      <c r="A76" s="348" t="s">
        <v>65</v>
      </c>
      <c r="B76" s="348" t="s">
        <v>657</v>
      </c>
      <c r="C76" s="1213" t="s">
        <v>661</v>
      </c>
      <c r="D76" s="476">
        <v>928216.33142132871</v>
      </c>
      <c r="E76" s="476">
        <v>960092.7077450474</v>
      </c>
    </row>
    <row r="77" spans="1:6">
      <c r="A77" s="348" t="s">
        <v>66</v>
      </c>
      <c r="B77" s="348" t="s">
        <v>656</v>
      </c>
      <c r="C77" s="1213" t="s">
        <v>662</v>
      </c>
      <c r="D77" s="476">
        <v>35175176</v>
      </c>
      <c r="E77" s="476">
        <v>36203126.217399582</v>
      </c>
    </row>
    <row r="78" spans="1:6">
      <c r="A78" s="341" t="s">
        <v>66</v>
      </c>
      <c r="B78" s="341" t="s">
        <v>657</v>
      </c>
      <c r="C78" s="341" t="s">
        <v>663</v>
      </c>
      <c r="D78" s="1214">
        <v>8408317</v>
      </c>
      <c r="E78" s="1214">
        <v>8665928.4589117169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72205.337157342641</v>
      </c>
      <c r="C83" s="476">
        <v>71928.085690203443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22046.125396070373</v>
      </c>
    </row>
    <row r="91" spans="1:6">
      <c r="A91" s="348" t="s">
        <v>68</v>
      </c>
      <c r="B91" s="334">
        <v>3445.612661231949</v>
      </c>
    </row>
    <row r="92" spans="1:6">
      <c r="A92" s="341" t="s">
        <v>69</v>
      </c>
      <c r="B92" s="342">
        <v>2788.0155626666583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54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4</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129882.42394388009</v>
      </c>
      <c r="C3" s="43" t="s">
        <v>170</v>
      </c>
      <c r="D3" s="43"/>
      <c r="E3" s="154"/>
      <c r="F3" s="43"/>
      <c r="G3" s="43"/>
      <c r="H3" s="43"/>
      <c r="I3" s="43"/>
      <c r="J3" s="43"/>
      <c r="K3" s="96"/>
    </row>
    <row r="4" spans="1:11">
      <c r="A4" s="383" t="s">
        <v>171</v>
      </c>
      <c r="B4" s="49">
        <f>IF(ISERROR('SEAP template'!B69),0,'SEAP template'!B69)</f>
        <v>28279.753619968978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0.17288089842923179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1365.761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1365.761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0.17288089842923179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236.11398871960603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31963.6870719418</v>
      </c>
      <c r="C5" s="17">
        <f>IF(ISERROR('Eigen informatie GS &amp; warmtenet'!B57),0,'Eigen informatie GS &amp; warmtenet'!B57)</f>
        <v>0</v>
      </c>
      <c r="D5" s="30">
        <f>(SUM(HH_hh_gas_kWh,HH_rest_gas_kWh)/1000)*0.902</f>
        <v>92894.026756929205</v>
      </c>
      <c r="E5" s="17">
        <f>B46*B57</f>
        <v>4372.1609417863774</v>
      </c>
      <c r="F5" s="17">
        <f>B51*B62</f>
        <v>0</v>
      </c>
      <c r="G5" s="18"/>
      <c r="H5" s="17"/>
      <c r="I5" s="17"/>
      <c r="J5" s="17">
        <f>B50*B61+C50*C61</f>
        <v>1837.0630350089559</v>
      </c>
      <c r="K5" s="17"/>
      <c r="L5" s="17"/>
      <c r="M5" s="17"/>
      <c r="N5" s="17">
        <f>B48*B59+C48*C59</f>
        <v>17566.418522684929</v>
      </c>
      <c r="O5" s="17">
        <f>B69*B70*B71</f>
        <v>257.95</v>
      </c>
      <c r="P5" s="17">
        <f>B77*B78*B79/1000-B77*B78*B79/1000/B80</f>
        <v>610.13333333333333</v>
      </c>
    </row>
    <row r="6" spans="1:16">
      <c r="A6" s="16" t="s">
        <v>621</v>
      </c>
      <c r="B6" s="843">
        <f>kWh_PV_kleiner_dan_10kW</f>
        <v>3445.612661231949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35409.29973317375</v>
      </c>
      <c r="C8" s="21">
        <f>C5</f>
        <v>0</v>
      </c>
      <c r="D8" s="21">
        <f>D5</f>
        <v>92894.026756929205</v>
      </c>
      <c r="E8" s="21">
        <f>E5</f>
        <v>4372.1609417863774</v>
      </c>
      <c r="F8" s="21">
        <f>F5</f>
        <v>0</v>
      </c>
      <c r="G8" s="21"/>
      <c r="H8" s="21"/>
      <c r="I8" s="21"/>
      <c r="J8" s="21">
        <f>J5</f>
        <v>1837.0630350089559</v>
      </c>
      <c r="K8" s="21"/>
      <c r="L8" s="21">
        <f>L5</f>
        <v>0</v>
      </c>
      <c r="M8" s="21">
        <f>M5</f>
        <v>0</v>
      </c>
      <c r="N8" s="21">
        <f>N5</f>
        <v>17566.418522684929</v>
      </c>
      <c r="O8" s="21">
        <f>O5</f>
        <v>257.95</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0.17288089842923179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6121.5915506210358</v>
      </c>
      <c r="C12" s="23">
        <f ca="1">C10*C8</f>
        <v>0</v>
      </c>
      <c r="D12" s="23">
        <f>D8*D10</f>
        <v>18764.593404899701</v>
      </c>
      <c r="E12" s="23">
        <f>E10*E8</f>
        <v>992.48053378550776</v>
      </c>
      <c r="F12" s="23">
        <f>F10*F8</f>
        <v>0</v>
      </c>
      <c r="G12" s="23"/>
      <c r="H12" s="23"/>
      <c r="I12" s="23"/>
      <c r="J12" s="23">
        <f>J10*J8</f>
        <v>650.32031439317041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8289</v>
      </c>
      <c r="C28" s="36"/>
      <c r="D28" s="228"/>
    </row>
    <row r="29" spans="1:7" s="15" customFormat="1">
      <c r="A29" s="230" t="s">
        <v>795</v>
      </c>
      <c r="B29" s="37">
        <f>SUM(HH_hh_gas_aantal,HH_rest_gas_aantal)</f>
        <v>6253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6253</v>
      </c>
      <c r="C32" s="167">
        <f>IF(ISERROR(B32/SUM($B$32,$B$34,$B$35,$B$36,$B$38,$B$39)*100),0,B32/SUM($B$32,$B$34,$B$35,$B$36,$B$38,$B$39)*100)</f>
        <v>75.729683904565803</v>
      </c>
      <c r="D32" s="233"/>
      <c r="G32" s="15"/>
    </row>
    <row r="33" spans="1:7">
      <c r="A33" s="171" t="s">
        <v>72</v>
      </c>
      <c r="B33" s="34" t="s">
        <v>111</v>
      </c>
      <c r="C33" s="167"/>
      <c r="D33" s="233"/>
      <c r="G33" s="15"/>
    </row>
    <row r="34" spans="1:7">
      <c r="A34" s="171" t="s">
        <v>73</v>
      </c>
      <c r="B34" s="33">
        <f>IF((($B$28-$B$32-$B$39-$B$77-$B$38)*C20/100)&lt;0,0,($B$28-$B$32-$B$39-$B$77-$B$38)*C20/100)</f>
        <v>206.4927616926503</v>
      </c>
      <c r="C34" s="167">
        <f>IF(ISERROR(B34/SUM($B$32,$B$34,$B$35,$B$36,$B$38,$B$39)*100),0,B34/SUM($B$32,$B$34,$B$35,$B$36,$B$38,$B$39)*100)</f>
        <v>2.5008206575348222</v>
      </c>
      <c r="D34" s="233"/>
      <c r="G34" s="15"/>
    </row>
    <row r="35" spans="1:7">
      <c r="A35" s="171" t="s">
        <v>74</v>
      </c>
      <c r="B35" s="33">
        <f>IF((($B$28-$B$32-$B$39-$B$77-$B$38)*C21/100)&lt;0,0,($B$28-$B$32-$B$39-$B$77-$B$38)*C21/100)</f>
        <v>1501.9631403118044</v>
      </c>
      <c r="C35" s="167">
        <f>IF(ISERROR(B35/SUM($B$32,$B$34,$B$35,$B$36,$B$38,$B$39)*100),0,B35/SUM($B$32,$B$34,$B$35,$B$36,$B$38,$B$39)*100)</f>
        <v>18.19017973006908</v>
      </c>
      <c r="D35" s="233"/>
      <c r="G35" s="15"/>
    </row>
    <row r="36" spans="1:7">
      <c r="A36" s="171" t="s">
        <v>75</v>
      </c>
      <c r="B36" s="33">
        <f>IF((($B$28-$B$32-$B$39-$B$77-$B$38)*C22/100)&lt;0,0,($B$28-$B$32-$B$39-$B$77-$B$38)*C22/100)</f>
        <v>243.44409799554566</v>
      </c>
      <c r="C36" s="167">
        <f>IF(ISERROR(B36/SUM($B$32,$B$34,$B$35,$B$36,$B$38,$B$39)*100),0,B36/SUM($B$32,$B$34,$B$35,$B$36,$B$38,$B$39)*100)</f>
        <v>2.9483359330936856</v>
      </c>
      <c r="D36" s="233"/>
      <c r="G36" s="15"/>
    </row>
    <row r="37" spans="1:7">
      <c r="A37" s="171" t="s">
        <v>76</v>
      </c>
      <c r="B37" s="34" t="s">
        <v>111</v>
      </c>
      <c r="C37" s="167"/>
      <c r="D37" s="173"/>
      <c r="G37" s="15"/>
    </row>
    <row r="38" spans="1:7">
      <c r="A38" s="171" t="s">
        <v>77</v>
      </c>
      <c r="B38" s="33">
        <f>IF((B24-(B29-B18)*0.1)&lt;0,0,B24-(B29-B18)*0.1)</f>
        <v>52.099999999999994</v>
      </c>
      <c r="C38" s="167">
        <f>IF(ISERROR(B38/SUM($B$32,$B$34,$B$35,$B$36,$B$38,$B$39)*100),0,B38/SUM($B$32,$B$34,$B$35,$B$36,$B$38,$B$39)*100)</f>
        <v>0.63097977473658695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6253</v>
      </c>
      <c r="C44" s="34" t="s">
        <v>111</v>
      </c>
      <c r="D44" s="174"/>
    </row>
    <row r="45" spans="1:7">
      <c r="A45" s="171" t="s">
        <v>72</v>
      </c>
      <c r="B45" s="33" t="str">
        <f t="shared" si="0"/>
        <v>-</v>
      </c>
      <c r="C45" s="34" t="s">
        <v>111</v>
      </c>
      <c r="D45" s="174"/>
    </row>
    <row r="46" spans="1:7">
      <c r="A46" s="171" t="s">
        <v>73</v>
      </c>
      <c r="B46" s="33">
        <f t="shared" si="0"/>
        <v>206.4927616926503</v>
      </c>
      <c r="C46" s="34" t="s">
        <v>111</v>
      </c>
      <c r="D46" s="174"/>
    </row>
    <row r="47" spans="1:7">
      <c r="A47" s="171" t="s">
        <v>74</v>
      </c>
      <c r="B47" s="33">
        <f t="shared" si="0"/>
        <v>1501.9631403118044</v>
      </c>
      <c r="C47" s="34" t="s">
        <v>111</v>
      </c>
      <c r="D47" s="174"/>
    </row>
    <row r="48" spans="1:7">
      <c r="A48" s="171" t="s">
        <v>75</v>
      </c>
      <c r="B48" s="33">
        <f t="shared" si="0"/>
        <v>243.44409799554566</v>
      </c>
      <c r="C48" s="33">
        <f>B48*10</f>
        <v>2434.4409799554564</v>
      </c>
      <c r="D48" s="234"/>
    </row>
    <row r="49" spans="1:6">
      <c r="A49" s="171" t="s">
        <v>76</v>
      </c>
      <c r="B49" s="33" t="str">
        <f t="shared" si="0"/>
        <v>-</v>
      </c>
      <c r="C49" s="34" t="s">
        <v>111</v>
      </c>
      <c r="D49" s="234"/>
    </row>
    <row r="50" spans="1:6">
      <c r="A50" s="171" t="s">
        <v>77</v>
      </c>
      <c r="B50" s="33">
        <f t="shared" si="0"/>
        <v>52.099999999999994</v>
      </c>
      <c r="C50" s="33">
        <f>B50*2</f>
        <v>104.19999999999999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19211.588395527335</v>
      </c>
      <c r="C5" s="17">
        <f>IF(ISERROR('Eigen informatie GS &amp; warmtenet'!B58),0,'Eigen informatie GS &amp; warmtenet'!B58)</f>
        <v>0</v>
      </c>
      <c r="D5" s="30">
        <f>SUM(D6:D12)</f>
        <v>25529.138199343182</v>
      </c>
      <c r="E5" s="17">
        <f>SUM(E6:E12)</f>
        <v>370.8882826164853</v>
      </c>
      <c r="F5" s="17">
        <f>SUM(F6:F12)</f>
        <v>3460.2124206013664</v>
      </c>
      <c r="G5" s="18"/>
      <c r="H5" s="17"/>
      <c r="I5" s="17"/>
      <c r="J5" s="17">
        <f>SUM(J6:J12)</f>
        <v>3.7873241168053261E-2</v>
      </c>
      <c r="K5" s="17"/>
      <c r="L5" s="17"/>
      <c r="M5" s="17"/>
      <c r="N5" s="17">
        <f>SUM(N6:N12)</f>
        <v>1514.1122973055067</v>
      </c>
      <c r="O5" s="17">
        <f>B38*B39*B40</f>
        <v>6.2533333333333339</v>
      </c>
      <c r="P5" s="17">
        <f>B46*B47*B48/1000-B46*B47*B48/1000/B49</f>
        <v>38.133333333333333</v>
      </c>
      <c r="R5" s="32"/>
    </row>
    <row r="6" spans="1:18">
      <c r="A6" s="32" t="s">
        <v>54</v>
      </c>
      <c r="B6" s="37">
        <f>B26</f>
        <v>3971.1747837993598</v>
      </c>
      <c r="C6" s="33"/>
      <c r="D6" s="37">
        <f>IF(ISERROR(TER_kantoor_gas_kWh/1000),0,TER_kantoor_gas_kWh/1000)*0.902</f>
        <v>7943.1790844783009</v>
      </c>
      <c r="E6" s="33">
        <f>$C$26*'E Balans VL '!I12/100/3.6*1000000</f>
        <v>2.4890002752813369E-2</v>
      </c>
      <c r="F6" s="33">
        <f>$C$26*('E Balans VL '!L12+'E Balans VL '!N12)/100/3.6*1000000</f>
        <v>596.7566047984152</v>
      </c>
      <c r="G6" s="34"/>
      <c r="H6" s="33"/>
      <c r="I6" s="33"/>
      <c r="J6" s="33">
        <f>$C$26*('E Balans VL '!D12+'E Balans VL '!E12)/100/3.6*1000000</f>
        <v>0</v>
      </c>
      <c r="K6" s="33"/>
      <c r="L6" s="33"/>
      <c r="M6" s="33"/>
      <c r="N6" s="33">
        <f>$C$26*'E Balans VL '!Y12/100/3.6*1000000</f>
        <v>3.7978398894259819</v>
      </c>
      <c r="O6" s="33"/>
      <c r="P6" s="33"/>
      <c r="R6" s="32"/>
    </row>
    <row r="7" spans="1:18">
      <c r="A7" s="32" t="s">
        <v>53</v>
      </c>
      <c r="B7" s="37">
        <f t="shared" ref="B7:B12" si="0">B27</f>
        <v>1129.1536899493699</v>
      </c>
      <c r="C7" s="33"/>
      <c r="D7" s="37">
        <f>IF(ISERROR(TER_horeca_gas_kWh/1000),0,TER_horeca_gas_kWh/1000)*0.902</f>
        <v>1545.953274820637</v>
      </c>
      <c r="E7" s="33">
        <f>$C$27*'E Balans VL '!I9/100/3.6*1000000</f>
        <v>16.169292758974553</v>
      </c>
      <c r="F7" s="33">
        <f>$C$27*('E Balans VL '!L9+'E Balans VL '!N9)/100/3.6*1000000</f>
        <v>142.98809807102347</v>
      </c>
      <c r="G7" s="34"/>
      <c r="H7" s="33"/>
      <c r="I7" s="33"/>
      <c r="J7" s="33">
        <f>$C$27*('E Balans VL '!D9+'E Balans VL '!E9)/100/3.6*1000000</f>
        <v>0</v>
      </c>
      <c r="K7" s="33"/>
      <c r="L7" s="33"/>
      <c r="M7" s="33"/>
      <c r="N7" s="33">
        <f>$C$27*'E Balans VL '!Y9/100/3.6*1000000</f>
        <v>0.32460679015861915</v>
      </c>
      <c r="O7" s="33"/>
      <c r="P7" s="33"/>
      <c r="R7" s="32"/>
    </row>
    <row r="8" spans="1:18">
      <c r="A8" s="6" t="s">
        <v>52</v>
      </c>
      <c r="B8" s="37">
        <f t="shared" si="0"/>
        <v>8362.451769490719</v>
      </c>
      <c r="C8" s="33"/>
      <c r="D8" s="37">
        <f>IF(ISERROR(TER_handel_gas_kWh/1000),0,TER_handel_gas_kWh/1000)*0.902</f>
        <v>3948.7657739087131</v>
      </c>
      <c r="E8" s="33">
        <f>$C$28*'E Balans VL '!I13/100/3.6*1000000</f>
        <v>303.30509446807605</v>
      </c>
      <c r="F8" s="33">
        <f>$C$28*('E Balans VL '!L13+'E Balans VL '!N13)/100/3.6*1000000</f>
        <v>1610.6928860115602</v>
      </c>
      <c r="G8" s="34"/>
      <c r="H8" s="33"/>
      <c r="I8" s="33"/>
      <c r="J8" s="33">
        <f>$C$28*('E Balans VL '!D13+'E Balans VL '!E13)/100/3.6*1000000</f>
        <v>0</v>
      </c>
      <c r="K8" s="33"/>
      <c r="L8" s="33"/>
      <c r="M8" s="33"/>
      <c r="N8" s="33">
        <f>$C$28*'E Balans VL '!Y13/100/3.6*1000000</f>
        <v>11.583919815083879</v>
      </c>
      <c r="O8" s="33"/>
      <c r="P8" s="33"/>
      <c r="R8" s="32"/>
    </row>
    <row r="9" spans="1:18">
      <c r="A9" s="32" t="s">
        <v>51</v>
      </c>
      <c r="B9" s="37">
        <f t="shared" si="0"/>
        <v>524.61303793000695</v>
      </c>
      <c r="C9" s="33"/>
      <c r="D9" s="37">
        <f>IF(ISERROR(TER_gezond_gas_kWh/1000),0,TER_gezond_gas_kWh/1000)*0.902</f>
        <v>2593.7679809083693</v>
      </c>
      <c r="E9" s="33">
        <f>$C$29*'E Balans VL '!I10/100/3.6*1000000</f>
        <v>3.28459557924159E-2</v>
      </c>
      <c r="F9" s="33">
        <f>$C$29*('E Balans VL '!L10+'E Balans VL '!N10)/100/3.6*1000000</f>
        <v>77.932864079084737</v>
      </c>
      <c r="G9" s="34"/>
      <c r="H9" s="33"/>
      <c r="I9" s="33"/>
      <c r="J9" s="33">
        <f>$C$29*('E Balans VL '!D10+'E Balans VL '!E10)/100/3.6*1000000</f>
        <v>0</v>
      </c>
      <c r="K9" s="33"/>
      <c r="L9" s="33"/>
      <c r="M9" s="33"/>
      <c r="N9" s="33">
        <f>$C$29*'E Balans VL '!Y10/100/3.6*1000000</f>
        <v>8.1147650915324316</v>
      </c>
      <c r="O9" s="33"/>
      <c r="P9" s="33"/>
      <c r="R9" s="32"/>
    </row>
    <row r="10" spans="1:18">
      <c r="A10" s="32" t="s">
        <v>50</v>
      </c>
      <c r="B10" s="37">
        <f t="shared" si="0"/>
        <v>1423.94940850546</v>
      </c>
      <c r="C10" s="33"/>
      <c r="D10" s="37">
        <f>IF(ISERROR(TER_ander_gas_kWh/1000),0,TER_ander_gas_kWh/1000)*0.902</f>
        <v>1430.216947294128</v>
      </c>
      <c r="E10" s="33">
        <f>$C$30*'E Balans VL '!I14/100/3.6*1000000</f>
        <v>1.6972968115844247</v>
      </c>
      <c r="F10" s="33">
        <f>$C$30*('E Balans VL '!L14+'E Balans VL '!N14)/100/3.6*1000000</f>
        <v>372.56846908364963</v>
      </c>
      <c r="G10" s="34"/>
      <c r="H10" s="33"/>
      <c r="I10" s="33"/>
      <c r="J10" s="33">
        <f>$C$30*('E Balans VL '!D14+'E Balans VL '!E14)/100/3.6*1000000</f>
        <v>3.0908359931094635E-2</v>
      </c>
      <c r="K10" s="33"/>
      <c r="L10" s="33"/>
      <c r="M10" s="33"/>
      <c r="N10" s="33">
        <f>$C$30*'E Balans VL '!Y14/100/3.6*1000000</f>
        <v>1209.1829941512685</v>
      </c>
      <c r="O10" s="33"/>
      <c r="P10" s="33"/>
      <c r="R10" s="32"/>
    </row>
    <row r="11" spans="1:18">
      <c r="A11" s="32" t="s">
        <v>55</v>
      </c>
      <c r="B11" s="37">
        <f t="shared" si="0"/>
        <v>924.00839396163099</v>
      </c>
      <c r="C11" s="33"/>
      <c r="D11" s="37">
        <f>IF(ISERROR(TER_onderwijs_gas_kWh/1000),0,TER_onderwijs_gas_kWh/1000)*0.902</f>
        <v>2866.1708591926431</v>
      </c>
      <c r="E11" s="33">
        <f>$C$31*'E Balans VL '!I11/100/3.6*1000000</f>
        <v>13.941798407844626</v>
      </c>
      <c r="F11" s="33">
        <f>$C$31*('E Balans VL '!L11+'E Balans VL '!N11)/100/3.6*1000000</f>
        <v>161.90103209532015</v>
      </c>
      <c r="G11" s="34"/>
      <c r="H11" s="33"/>
      <c r="I11" s="33"/>
      <c r="J11" s="33">
        <f>$C$31*('E Balans VL '!D11+'E Balans VL '!E11)/100/3.6*1000000</f>
        <v>0</v>
      </c>
      <c r="K11" s="33"/>
      <c r="L11" s="33"/>
      <c r="M11" s="33"/>
      <c r="N11" s="33">
        <f>$C$31*'E Balans VL '!Y11/100/3.6*1000000</f>
        <v>2.60022986640123</v>
      </c>
      <c r="O11" s="33"/>
      <c r="P11" s="33"/>
      <c r="R11" s="32"/>
    </row>
    <row r="12" spans="1:18">
      <c r="A12" s="32" t="s">
        <v>260</v>
      </c>
      <c r="B12" s="37">
        <f t="shared" si="0"/>
        <v>2876.2373118907899</v>
      </c>
      <c r="C12" s="33"/>
      <c r="D12" s="37">
        <f>IF(ISERROR(TER_rest_gas_kWh/1000),0,TER_rest_gas_kWh/1000)*0.902</f>
        <v>5201.0842787403899</v>
      </c>
      <c r="E12" s="33">
        <f>$C$32*'E Balans VL '!I8/100/3.6*1000000</f>
        <v>35.717064211460446</v>
      </c>
      <c r="F12" s="33">
        <f>$C$32*('E Balans VL '!L8+'E Balans VL '!N8)/100/3.6*1000000</f>
        <v>497.37246646231262</v>
      </c>
      <c r="G12" s="34"/>
      <c r="H12" s="33"/>
      <c r="I12" s="33"/>
      <c r="J12" s="33">
        <f>$C$32*('E Balans VL '!D8+'E Balans VL '!E8)/100/3.6*1000000</f>
        <v>6.9648812369586246E-3</v>
      </c>
      <c r="K12" s="33"/>
      <c r="L12" s="33"/>
      <c r="M12" s="33"/>
      <c r="N12" s="33">
        <f>$C$32*'E Balans VL '!Y8/100/3.6*1000000</f>
        <v>278.50794170163613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19211.588395527335</v>
      </c>
      <c r="C16" s="21">
        <f t="shared" ca="1" si="1"/>
        <v>0</v>
      </c>
      <c r="D16" s="21">
        <f t="shared" ca="1" si="1"/>
        <v>25529.138199343182</v>
      </c>
      <c r="E16" s="21">
        <f t="shared" si="1"/>
        <v>370.8882826164853</v>
      </c>
      <c r="F16" s="21">
        <f t="shared" ca="1" si="1"/>
        <v>3460.2124206013664</v>
      </c>
      <c r="G16" s="21">
        <f t="shared" si="1"/>
        <v>0</v>
      </c>
      <c r="H16" s="21">
        <f t="shared" si="1"/>
        <v>0</v>
      </c>
      <c r="I16" s="21">
        <f t="shared" si="1"/>
        <v>0</v>
      </c>
      <c r="J16" s="21">
        <f t="shared" si="1"/>
        <v>3.7873241168053261E-2</v>
      </c>
      <c r="K16" s="21">
        <f t="shared" si="1"/>
        <v>0</v>
      </c>
      <c r="L16" s="21">
        <f t="shared" ca="1" si="1"/>
        <v>0</v>
      </c>
      <c r="M16" s="21">
        <f t="shared" si="1"/>
        <v>0</v>
      </c>
      <c r="N16" s="21">
        <f t="shared" ca="1" si="1"/>
        <v>1514.1122973055067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0.17288089842923179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3321.3166620713696</v>
      </c>
      <c r="C20" s="23">
        <f t="shared" ref="C20:P20" ca="1" si="2">C16*C18</f>
        <v>0</v>
      </c>
      <c r="D20" s="23">
        <f t="shared" ca="1" si="2"/>
        <v>5156.8859162673234</v>
      </c>
      <c r="E20" s="23">
        <f t="shared" si="2"/>
        <v>84.19164015394216</v>
      </c>
      <c r="F20" s="23">
        <f t="shared" ca="1" si="2"/>
        <v>923.87671630056491</v>
      </c>
      <c r="G20" s="23">
        <f t="shared" si="2"/>
        <v>0</v>
      </c>
      <c r="H20" s="23">
        <f t="shared" si="2"/>
        <v>0</v>
      </c>
      <c r="I20" s="23">
        <f t="shared" si="2"/>
        <v>0</v>
      </c>
      <c r="J20" s="23">
        <f t="shared" si="2"/>
        <v>1.3407127373490854E-2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3971.1747837993598</v>
      </c>
      <c r="C26" s="39">
        <f>IF(ISERROR(B26*3.6/1000000/'E Balans VL '!Z12*100),0,B26*3.6/1000000/'E Balans VL '!Z12*100)</f>
        <v>8.3944344080517166E-2</v>
      </c>
      <c r="D26" s="237" t="s">
        <v>754</v>
      </c>
      <c r="F26" s="6"/>
    </row>
    <row r="27" spans="1:18">
      <c r="A27" s="231" t="s">
        <v>53</v>
      </c>
      <c r="B27" s="33">
        <f>IF(ISERROR(TER_horeca_ele_kWh/1000),0,TER_horeca_ele_kWh/1000)</f>
        <v>1129.1536899493699</v>
      </c>
      <c r="C27" s="39">
        <f>IF(ISERROR(B27*3.6/1000000/'E Balans VL '!Z9*100),0,B27*3.6/1000000/'E Balans VL '!Z9*100)</f>
        <v>8.901076452164304E-2</v>
      </c>
      <c r="D27" s="237" t="s">
        <v>754</v>
      </c>
      <c r="F27" s="6"/>
    </row>
    <row r="28" spans="1:18">
      <c r="A28" s="171" t="s">
        <v>52</v>
      </c>
      <c r="B28" s="33">
        <f>IF(ISERROR(TER_handel_ele_kWh/1000),0,TER_handel_ele_kWh/1000)</f>
        <v>8362.451769490719</v>
      </c>
      <c r="C28" s="39">
        <f>IF(ISERROR(B28*3.6/1000000/'E Balans VL '!Z13*100),0,B28*3.6/1000000/'E Balans VL '!Z13*100)</f>
        <v>0.24271213844193132</v>
      </c>
      <c r="D28" s="237" t="s">
        <v>754</v>
      </c>
      <c r="F28" s="6"/>
    </row>
    <row r="29" spans="1:18">
      <c r="A29" s="231" t="s">
        <v>51</v>
      </c>
      <c r="B29" s="33">
        <f>IF(ISERROR(TER_gezond_ele_kWh/1000),0,TER_gezond_ele_kWh/1000)</f>
        <v>524.61303793000695</v>
      </c>
      <c r="C29" s="39">
        <f>IF(ISERROR(B29*3.6/1000000/'E Balans VL '!Z10*100),0,B29*3.6/1000000/'E Balans VL '!Z10*100)</f>
        <v>5.5250367267498712E-2</v>
      </c>
      <c r="D29" s="237" t="s">
        <v>754</v>
      </c>
      <c r="F29" s="6"/>
    </row>
    <row r="30" spans="1:18">
      <c r="A30" s="231" t="s">
        <v>50</v>
      </c>
      <c r="B30" s="33">
        <f>IF(ISERROR(TER_ander_ele_kWh/1000),0,TER_ander_ele_kWh/1000)</f>
        <v>1423.94940850546</v>
      </c>
      <c r="C30" s="39">
        <f>IF(ISERROR(B30*3.6/1000000/'E Balans VL '!Z14*100),0,B30*3.6/1000000/'E Balans VL '!Z14*100)</f>
        <v>0.1050308176516358</v>
      </c>
      <c r="D30" s="237" t="s">
        <v>754</v>
      </c>
      <c r="F30" s="6"/>
    </row>
    <row r="31" spans="1:18">
      <c r="A31" s="231" t="s">
        <v>55</v>
      </c>
      <c r="B31" s="33">
        <f>IF(ISERROR(TER_onderwijs_ele_kWh/1000),0,TER_onderwijs_ele_kWh/1000)</f>
        <v>924.00839396163099</v>
      </c>
      <c r="C31" s="39">
        <f>IF(ISERROR(B31*3.6/1000000/'E Balans VL '!Z11*100),0,B31*3.6/1000000/'E Balans VL '!Z11*100)</f>
        <v>0.22947456732287716</v>
      </c>
      <c r="D31" s="237" t="s">
        <v>754</v>
      </c>
    </row>
    <row r="32" spans="1:18">
      <c r="A32" s="231" t="s">
        <v>260</v>
      </c>
      <c r="B32" s="33">
        <f>IF(ISERROR(TER_rest_ele_kWh/1000),0,TER_rest_ele_kWh/1000)</f>
        <v>2876.2373118907899</v>
      </c>
      <c r="C32" s="39">
        <f>IF(ISERROR(B32*3.6/1000000/'E Balans VL '!Z8*100),0,B32*3.6/1000000/'E Balans VL '!Z8*100)</f>
        <v>2.3667615259920827E-2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72269.182062028907</v>
      </c>
      <c r="C5" s="17">
        <f>IF(ISERROR('Eigen informatie GS &amp; warmtenet'!B59),0,'Eigen informatie GS &amp; warmtenet'!B59)</f>
        <v>0</v>
      </c>
      <c r="D5" s="30">
        <f>SUM(D6:D15)</f>
        <v>45676.027581268056</v>
      </c>
      <c r="E5" s="17">
        <f>SUM(E6:E15)</f>
        <v>3327.3248290968854</v>
      </c>
      <c r="F5" s="17">
        <f>SUM(F6:F15)</f>
        <v>13272.402967684455</v>
      </c>
      <c r="G5" s="18"/>
      <c r="H5" s="17"/>
      <c r="I5" s="17"/>
      <c r="J5" s="17">
        <f>SUM(J6:J15)</f>
        <v>144.80081844555019</v>
      </c>
      <c r="K5" s="17"/>
      <c r="L5" s="17"/>
      <c r="M5" s="17"/>
      <c r="N5" s="17">
        <f>SUM(N6:N15)</f>
        <v>14350.575074538423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1614.6422697214</v>
      </c>
      <c r="C8" s="33"/>
      <c r="D8" s="37">
        <f>IF( ISERROR(IND_metaal_Gas_kWH/1000),0,IND_metaal_Gas_kWH/1000)*0.902</f>
        <v>196.84990804940861</v>
      </c>
      <c r="E8" s="33">
        <f>C30*'E Balans VL '!I18/100/3.6*1000000</f>
        <v>14.845076233753888</v>
      </c>
      <c r="F8" s="33">
        <f>C30*'E Balans VL '!L18/100/3.6*1000000+C30*'E Balans VL '!N18/100/3.6*1000000</f>
        <v>151.39968801719013</v>
      </c>
      <c r="G8" s="34"/>
      <c r="H8" s="33"/>
      <c r="I8" s="33"/>
      <c r="J8" s="40">
        <f>C30*'E Balans VL '!D18/100/3.6*1000000+C30*'E Balans VL '!E18/100/3.6*1000000</f>
        <v>0</v>
      </c>
      <c r="K8" s="33"/>
      <c r="L8" s="33"/>
      <c r="M8" s="33"/>
      <c r="N8" s="33">
        <f>C30*'E Balans VL '!Y18/100/3.6*1000000</f>
        <v>23.035540286291759</v>
      </c>
      <c r="O8" s="33"/>
      <c r="P8" s="33"/>
      <c r="R8" s="32"/>
    </row>
    <row r="9" spans="1:18">
      <c r="A9" s="6" t="s">
        <v>33</v>
      </c>
      <c r="B9" s="37">
        <f t="shared" si="0"/>
        <v>3454.6356975305002</v>
      </c>
      <c r="C9" s="33"/>
      <c r="D9" s="37">
        <f>IF( ISERROR(IND_andere_gas_kWh/1000),0,IND_andere_gas_kWh/1000)*0.902</f>
        <v>3438.1266002276225</v>
      </c>
      <c r="E9" s="33">
        <f>C31*'E Balans VL '!I19/100/3.6*1000000</f>
        <v>1009.8572682126534</v>
      </c>
      <c r="F9" s="33">
        <f>C31*'E Balans VL '!L19/100/3.6*1000000+C31*'E Balans VL '!N19/100/3.6*1000000</f>
        <v>2776.0612748606359</v>
      </c>
      <c r="G9" s="34"/>
      <c r="H9" s="33"/>
      <c r="I9" s="33"/>
      <c r="J9" s="40">
        <f>C31*'E Balans VL '!D19/100/3.6*1000000+C31*'E Balans VL '!E19/100/3.6*1000000</f>
        <v>0</v>
      </c>
      <c r="K9" s="33"/>
      <c r="L9" s="33"/>
      <c r="M9" s="33"/>
      <c r="N9" s="33">
        <f>C31*'E Balans VL '!Y19/100/3.6*1000000</f>
        <v>1141.4652120650908</v>
      </c>
      <c r="O9" s="33"/>
      <c r="P9" s="33"/>
      <c r="R9" s="32"/>
    </row>
    <row r="10" spans="1:18">
      <c r="A10" s="6" t="s">
        <v>41</v>
      </c>
      <c r="B10" s="37">
        <f t="shared" si="0"/>
        <v>7942.1328996392795</v>
      </c>
      <c r="C10" s="33"/>
      <c r="D10" s="37">
        <f>IF( ISERROR(IND_voed_gas_kWh/1000),0,IND_voed_gas_kWh/1000)*0.902</f>
        <v>6645.0504979847365</v>
      </c>
      <c r="E10" s="33">
        <f>C32*'E Balans VL '!I20/100/3.6*1000000</f>
        <v>16.801705293416006</v>
      </c>
      <c r="F10" s="33">
        <f>C32*'E Balans VL '!L20/100/3.6*1000000+C32*'E Balans VL '!N20/100/3.6*1000000</f>
        <v>504.96892240992253</v>
      </c>
      <c r="G10" s="34"/>
      <c r="H10" s="33"/>
      <c r="I10" s="33"/>
      <c r="J10" s="40">
        <f>C32*'E Balans VL '!D20/100/3.6*1000000+C32*'E Balans VL '!E20/100/3.6*1000000</f>
        <v>0</v>
      </c>
      <c r="K10" s="33"/>
      <c r="L10" s="33"/>
      <c r="M10" s="33"/>
      <c r="N10" s="33">
        <f>C32*'E Balans VL '!Y20/100/3.6*1000000</f>
        <v>548.08554495762144</v>
      </c>
      <c r="O10" s="33"/>
      <c r="P10" s="33"/>
      <c r="R10" s="32"/>
    </row>
    <row r="11" spans="1:18">
      <c r="A11" s="6" t="s">
        <v>40</v>
      </c>
      <c r="B11" s="37">
        <f t="shared" si="0"/>
        <v>17960.152537277601</v>
      </c>
      <c r="C11" s="33"/>
      <c r="D11" s="37">
        <f>IF( ISERROR(IND_textiel_gas_kWh/1000),0,IND_textiel_gas_kWh/1000)*0.902</f>
        <v>0</v>
      </c>
      <c r="E11" s="33">
        <f>C33*'E Balans VL '!I21/100/3.6*1000000</f>
        <v>53.340104572885281</v>
      </c>
      <c r="F11" s="33">
        <f>C33*'E Balans VL '!L21/100/3.6*1000000+C33*'E Balans VL '!N21/100/3.6*1000000</f>
        <v>1814.4684863871819</v>
      </c>
      <c r="G11" s="34"/>
      <c r="H11" s="33"/>
      <c r="I11" s="33"/>
      <c r="J11" s="40">
        <f>C33*'E Balans VL '!D21/100/3.6*1000000+C33*'E Balans VL '!E21/100/3.6*1000000</f>
        <v>0</v>
      </c>
      <c r="K11" s="33"/>
      <c r="L11" s="33"/>
      <c r="M11" s="33"/>
      <c r="N11" s="33">
        <f>C33*'E Balans VL '!Y21/100/3.6*1000000</f>
        <v>990.55972964001319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888.63803421472903</v>
      </c>
      <c r="C13" s="33"/>
      <c r="D13" s="37">
        <f>IF( ISERROR(IND_papier_gas_kWh/1000),0,IND_papier_gas_kWh/1000)*0.902</f>
        <v>745.31970825206008</v>
      </c>
      <c r="E13" s="33">
        <f>C35*'E Balans VL '!I23/100/3.6*1000000</f>
        <v>1.2607741406099457</v>
      </c>
      <c r="F13" s="33">
        <f>C35*'E Balans VL '!L23/100/3.6*1000000+C35*'E Balans VL '!N23/100/3.6*1000000</f>
        <v>21.694995909631068</v>
      </c>
      <c r="G13" s="34"/>
      <c r="H13" s="33"/>
      <c r="I13" s="33"/>
      <c r="J13" s="40">
        <f>C35*'E Balans VL '!D23/100/3.6*1000000+C35*'E Balans VL '!E23/100/3.6*1000000</f>
        <v>0.13743621503357684</v>
      </c>
      <c r="K13" s="33"/>
      <c r="L13" s="33"/>
      <c r="M13" s="33"/>
      <c r="N13" s="33">
        <f>C35*'E Balans VL '!Y23/100/3.6*1000000</f>
        <v>2583.0604103909527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40408.980623645402</v>
      </c>
      <c r="C15" s="33"/>
      <c r="D15" s="37">
        <f>IF( ISERROR(IND_rest_gas_kWh/1000),0,IND_rest_gas_kWh/1000)*0.902</f>
        <v>34650.680866754228</v>
      </c>
      <c r="E15" s="33">
        <f>C37*'E Balans VL '!I15/100/3.6*1000000</f>
        <v>2231.2199006435667</v>
      </c>
      <c r="F15" s="33">
        <f>C37*'E Balans VL '!L15/100/3.6*1000000+C37*'E Balans VL '!N15/100/3.6*1000000</f>
        <v>8003.8096000998939</v>
      </c>
      <c r="G15" s="34"/>
      <c r="H15" s="33"/>
      <c r="I15" s="33"/>
      <c r="J15" s="40">
        <f>C37*'E Balans VL '!D15/100/3.6*1000000+C37*'E Balans VL '!E15/100/3.6*1000000</f>
        <v>144.66338223051662</v>
      </c>
      <c r="K15" s="33"/>
      <c r="L15" s="33"/>
      <c r="M15" s="33"/>
      <c r="N15" s="33">
        <f>C37*'E Balans VL '!Y15/100/3.6*1000000</f>
        <v>9064.3686371984531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72269.182062028907</v>
      </c>
      <c r="C18" s="21">
        <f>C5+C16</f>
        <v>0</v>
      </c>
      <c r="D18" s="21">
        <f>MAX((D5+D16),0)</f>
        <v>45676.027581268056</v>
      </c>
      <c r="E18" s="21">
        <f>MAX((E5+E16),0)</f>
        <v>3327.3248290968854</v>
      </c>
      <c r="F18" s="21">
        <f>MAX((F5+F16),0)</f>
        <v>13272.402967684455</v>
      </c>
      <c r="G18" s="21"/>
      <c r="H18" s="21"/>
      <c r="I18" s="21"/>
      <c r="J18" s="21">
        <f>MAX((J5+J16),0)</f>
        <v>144.80081844555019</v>
      </c>
      <c r="K18" s="21"/>
      <c r="L18" s="21">
        <f>MAX((L5+L16),0)</f>
        <v>0</v>
      </c>
      <c r="M18" s="21"/>
      <c r="N18" s="21">
        <f>MAX((N5+N16),0)</f>
        <v>14350.575074538423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0.17288089842923179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12493.96112362928</v>
      </c>
      <c r="C22" s="23">
        <f ca="1">C18*C20</f>
        <v>0</v>
      </c>
      <c r="D22" s="23">
        <f>D18*D20</f>
        <v>9226.5575714161478</v>
      </c>
      <c r="E22" s="23">
        <f>E18*E20</f>
        <v>755.30273620499304</v>
      </c>
      <c r="F22" s="23">
        <f>F18*F20</f>
        <v>3543.7315923717497</v>
      </c>
      <c r="G22" s="23"/>
      <c r="H22" s="23"/>
      <c r="I22" s="23"/>
      <c r="J22" s="23">
        <f>J18*J20</f>
        <v>51.259489729724763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1614.6422697214</v>
      </c>
      <c r="C30" s="39">
        <f>IF(ISERROR(B30*3.6/1000000/'E Balans VL '!Z18*100),0,B30*3.6/1000000/'E Balans VL '!Z18*100)</f>
        <v>9.1505917638681294E-2</v>
      </c>
      <c r="D30" s="237" t="s">
        <v>754</v>
      </c>
    </row>
    <row r="31" spans="1:18">
      <c r="A31" s="6" t="s">
        <v>33</v>
      </c>
      <c r="B31" s="37">
        <f>IF( ISERROR(IND_ander_ele_kWh/1000),0,IND_ander_ele_kWh/1000)</f>
        <v>3454.6356975305002</v>
      </c>
      <c r="C31" s="39">
        <f>IF(ISERROR(B31*3.6/1000000/'E Balans VL '!Z19*100),0,B31*3.6/1000000/'E Balans VL '!Z19*100)</f>
        <v>0.15668789038730294</v>
      </c>
      <c r="D31" s="237" t="s">
        <v>754</v>
      </c>
    </row>
    <row r="32" spans="1:18">
      <c r="A32" s="171" t="s">
        <v>41</v>
      </c>
      <c r="B32" s="37">
        <f>IF( ISERROR(IND_voed_ele_kWh/1000),0,IND_voed_ele_kWh/1000)</f>
        <v>7942.1328996392795</v>
      </c>
      <c r="C32" s="39">
        <f>IF(ISERROR(B32*3.6/1000000/'E Balans VL '!Z20*100),0,B32*3.6/1000000/'E Balans VL '!Z20*100)</f>
        <v>0.24568622482494978</v>
      </c>
      <c r="D32" s="237" t="s">
        <v>754</v>
      </c>
    </row>
    <row r="33" spans="1:5">
      <c r="A33" s="171" t="s">
        <v>40</v>
      </c>
      <c r="B33" s="37">
        <f>IF( ISERROR(IND_textiel_ele_kWh/1000),0,IND_textiel_ele_kWh/1000)</f>
        <v>17960.152537277601</v>
      </c>
      <c r="C33" s="39">
        <f>IF(ISERROR(B33*3.6/1000000/'E Balans VL '!Z21*100),0,B33*3.6/1000000/'E Balans VL '!Z21*100)</f>
        <v>2.3418042535999906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888.63803421472903</v>
      </c>
      <c r="C35" s="39">
        <f>IF(ISERROR(B35*3.6/1000000/'E Balans VL '!Z22*100),0,B35*3.6/1000000/'E Balans VL '!Z22*100)</f>
        <v>0.15983825716787092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40408.980623645402</v>
      </c>
      <c r="C37" s="39">
        <f>IF(ISERROR(B37*3.6/1000000/'E Balans VL '!Z15*100),0,B37*3.6/1000000/'E Balans VL '!Z15*100)</f>
        <v>0.32029079839035729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1579.3652459676534</v>
      </c>
      <c r="C5" s="17">
        <f>'Eigen informatie GS &amp; warmtenet'!B60</f>
        <v>0</v>
      </c>
      <c r="D5" s="30">
        <f>IF(ISERROR(SUM(LB_lb_gas_kWh,LB_rest_gas_kWh,onbekend_gas_kWh)/1000),0,SUM(LB_lb_gas_kWh,LB_rest_gas_kWh,onbekend_gas_kWh)/1000)*0.902</f>
        <v>2818.7624620377792</v>
      </c>
      <c r="E5" s="17">
        <f>B17*'E Balans VL '!I25/3.6*1000000/100</f>
        <v>46.422368517236713</v>
      </c>
      <c r="F5" s="17">
        <f>B17*('E Balans VL '!L25/3.6*1000000+'E Balans VL '!N25/3.6*1000000)/100</f>
        <v>6579.5502702828808</v>
      </c>
      <c r="G5" s="18"/>
      <c r="H5" s="17"/>
      <c r="I5" s="17"/>
      <c r="J5" s="17">
        <f>('E Balans VL '!D25+'E Balans VL '!E25)/3.6*1000000*landbouw!B17/100</f>
        <v>228.81610688380883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1579.3652459676534</v>
      </c>
      <c r="C8" s="21">
        <f>C5+C6</f>
        <v>0</v>
      </c>
      <c r="D8" s="21">
        <f>MAX((D5+D6),0)</f>
        <v>2818.7624620377792</v>
      </c>
      <c r="E8" s="21">
        <f>MAX((E5+E6),0)</f>
        <v>46.422368517236713</v>
      </c>
      <c r="F8" s="21">
        <f>MAX((F5+F6),0)</f>
        <v>6579.5502702828808</v>
      </c>
      <c r="G8" s="21"/>
      <c r="H8" s="21"/>
      <c r="I8" s="21"/>
      <c r="J8" s="21">
        <f>MAX((J5+J6),0)</f>
        <v>228.81610688380883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0.17288089842923179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273.04208267079258</v>
      </c>
      <c r="C12" s="23">
        <f ca="1">C8*C10</f>
        <v>0</v>
      </c>
      <c r="D12" s="23">
        <f>D8*D10</f>
        <v>569.39001733163138</v>
      </c>
      <c r="E12" s="23">
        <f>E8*E10</f>
        <v>10.537877653412734</v>
      </c>
      <c r="F12" s="23">
        <f>F8*F10</f>
        <v>1756.7399221655294</v>
      </c>
      <c r="G12" s="23"/>
      <c r="H12" s="23"/>
      <c r="I12" s="23"/>
      <c r="J12" s="23">
        <f>J8*J10</f>
        <v>81.000901836868323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0.22411688351015388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493.51907571382196</v>
      </c>
      <c r="C26" s="247">
        <f>B26*'GWP N2O_CH4'!B5</f>
        <v>10363.90058999026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110.74569306057039</v>
      </c>
      <c r="C27" s="247">
        <f>B27*'GWP N2O_CH4'!B5</f>
        <v>2325.6595542719783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6.3279191112730357</v>
      </c>
      <c r="C28" s="247">
        <f>B28*'GWP N2O_CH4'!B4</f>
        <v>1961.6549244946411</v>
      </c>
      <c r="D28" s="50"/>
    </row>
    <row r="29" spans="1:4">
      <c r="A29" s="41" t="s">
        <v>277</v>
      </c>
      <c r="B29" s="247">
        <f>B34*'ha_N2O bodem landbouw'!B4</f>
        <v>12.786974478293734</v>
      </c>
      <c r="C29" s="247">
        <f>B29*'GWP N2O_CH4'!B4</f>
        <v>3963.9620882710578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2.9179435100722159E-3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1.7001902585678027E-4</v>
      </c>
      <c r="C5" s="463" t="s">
        <v>211</v>
      </c>
      <c r="D5" s="448">
        <f>SUM(D6:D11)</f>
        <v>6.0000142902437794E-4</v>
      </c>
      <c r="E5" s="448">
        <f>SUM(E6:E11)</f>
        <v>8.5289996400748132E-4</v>
      </c>
      <c r="F5" s="461" t="s">
        <v>211</v>
      </c>
      <c r="G5" s="448">
        <f>SUM(G6:G11)</f>
        <v>0.3455506297552271</v>
      </c>
      <c r="H5" s="448">
        <f>SUM(H6:H11)</f>
        <v>6.8405758393572075E-2</v>
      </c>
      <c r="I5" s="463" t="s">
        <v>211</v>
      </c>
      <c r="J5" s="463" t="s">
        <v>211</v>
      </c>
      <c r="K5" s="463" t="s">
        <v>211</v>
      </c>
      <c r="L5" s="463" t="s">
        <v>211</v>
      </c>
      <c r="M5" s="448">
        <f>SUM(M6:M11)</f>
        <v>2.2219319354253676E-2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8.4565086700094845E-5</v>
      </c>
      <c r="C6" s="449"/>
      <c r="D6" s="962">
        <f>vkm_2011_GW_PW*SUMIFS(TableVerdeelsleutelVkm[CNG],TableVerdeelsleutelVkm[Voertuigtype],"Lichte voertuigen")*SUMIFS(TableECFTransport[EnergieConsumptieFactor (PJ per km)],TableECFTransport[Index],CONCATENATE($A6,"_CNG_CNG"))</f>
        <v>2.5364672415539613E-4</v>
      </c>
      <c r="E6" s="962">
        <f>vkm_2011_GW_PW*SUMIFS(TableVerdeelsleutelVkm[LPG],TableVerdeelsleutelVkm[Voertuigtype],"Lichte voertuigen")*SUMIFS(TableECFTransport[EnergieConsumptieFactor (PJ per km)],TableECFTransport[Index],CONCATENATE($A6,"_LPG_LPG"))</f>
        <v>3.4651785975261894E-4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8.9593633906446452E-2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2.8844350336137515E-2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6.0905619206887808E-3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5.0355870911599702E-2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1.5344761852186081E-5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2.9426298893738814E-3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3.5637028311547969E-5</v>
      </c>
      <c r="C8" s="449"/>
      <c r="D8" s="451">
        <f>vkm_2011_NGW_PW*SUMIFS(TableVerdeelsleutelVkm[CNG],TableVerdeelsleutelVkm[Voertuigtype],"Lichte voertuigen")*SUMIFS(TableECFTransport[EnergieConsumptieFactor (PJ per km)],TableECFTransport[Index],CONCATENATE($A8,"_CNG_CNG"))</f>
        <v>1.9005273959577562E-4</v>
      </c>
      <c r="E8" s="451">
        <f>vkm_2011_NGW_PW*SUMIFS(TableVerdeelsleutelVkm[LPG],TableVerdeelsleutelVkm[Voertuigtype],"Lichte voertuigen")*SUMIFS(TableECFTransport[EnergieConsumptieFactor (PJ per km)],TableECFTransport[Index],CONCATENATE($A8,"_LPG_LPG"))</f>
        <v>2.4045549297935313E-4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5.7936577418399755E-2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2.1002646810876564E-2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4.0082500063911832E-3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1.1168890926063008E-2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3.2040592800660246E-6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6.5266698328201916E-4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4.9816910845137452E-5</v>
      </c>
      <c r="C10" s="449"/>
      <c r="D10" s="451">
        <f>vkm_2011_SW_PW*SUMIFS(TableVerdeelsleutelVkm[CNG],TableVerdeelsleutelVkm[Voertuigtype],"Lichte voertuigen")*SUMIFS(TableECFTransport[EnergieConsumptieFactor (PJ per km)],TableECFTransport[Index],CONCATENATE($A10,"_CNG_CNG"))</f>
        <v>1.5630196527320617E-4</v>
      </c>
      <c r="E10" s="451">
        <f>vkm_2011_SW_PW*SUMIFS(TableVerdeelsleutelVkm[LPG],TableVerdeelsleutelVkm[Voertuigtype],"Lichte voertuigen")*SUMIFS(TableECFTransport[EnergieConsumptieFactor (PJ per km)],TableECFTransport[Index],CONCATENATE($A10,"_LPG_LPG"))</f>
        <v>2.659266112755092E-4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6.1296686408286422E-2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1.8515466627548327E-2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4.1307781182810576E-3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7.5198970184431779E-2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2.474579787742236E-5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4.3944324362367535E-3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47.227507182438963</v>
      </c>
      <c r="C14" s="21"/>
      <c r="D14" s="21">
        <f t="shared" ref="D14:M14" si="0">((D5)*10^9/3600)+D12</f>
        <v>166.66706361788277</v>
      </c>
      <c r="E14" s="21">
        <f t="shared" si="0"/>
        <v>236.91665666874482</v>
      </c>
      <c r="F14" s="21"/>
      <c r="G14" s="21">
        <f t="shared" si="0"/>
        <v>95986.286043118642</v>
      </c>
      <c r="H14" s="21">
        <f t="shared" si="0"/>
        <v>19001.599553770022</v>
      </c>
      <c r="I14" s="21"/>
      <c r="J14" s="21"/>
      <c r="K14" s="21"/>
      <c r="L14" s="21"/>
      <c r="M14" s="21">
        <f t="shared" si="0"/>
        <v>6172.0331539593544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0.17288089842923179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8.1647338722730449</v>
      </c>
      <c r="C18" s="23"/>
      <c r="D18" s="23">
        <f t="shared" ref="D18:M18" si="1">D14*D16</f>
        <v>33.666746850812324</v>
      </c>
      <c r="E18" s="23">
        <f t="shared" si="1"/>
        <v>53.780081063805078</v>
      </c>
      <c r="F18" s="23"/>
      <c r="G18" s="23">
        <f t="shared" si="1"/>
        <v>25628.338373512677</v>
      </c>
      <c r="H18" s="23">
        <f t="shared" si="1"/>
        <v>4731.3982888887358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9.0691035932366471E-4</v>
      </c>
      <c r="H50" s="321">
        <f t="shared" si="2"/>
        <v>0</v>
      </c>
      <c r="I50" s="321">
        <f t="shared" si="2"/>
        <v>0</v>
      </c>
      <c r="J50" s="321">
        <f t="shared" si="2"/>
        <v>0</v>
      </c>
      <c r="K50" s="321">
        <f t="shared" si="2"/>
        <v>0</v>
      </c>
      <c r="L50" s="321">
        <f t="shared" si="2"/>
        <v>0</v>
      </c>
      <c r="M50" s="321">
        <f t="shared" si="2"/>
        <v>5.1508504784528971E-5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9.0691035932366471E-4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5.1508504784528971E-5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251.91954425657352</v>
      </c>
      <c r="H54" s="21">
        <f t="shared" si="3"/>
        <v>0</v>
      </c>
      <c r="I54" s="21">
        <f t="shared" si="3"/>
        <v>0</v>
      </c>
      <c r="J54" s="21">
        <f t="shared" si="3"/>
        <v>0</v>
      </c>
      <c r="K54" s="21">
        <f t="shared" si="3"/>
        <v>0</v>
      </c>
      <c r="L54" s="21">
        <f t="shared" si="3"/>
        <v>0</v>
      </c>
      <c r="M54" s="21">
        <f t="shared" si="3"/>
        <v>14.307917995702493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0.17288089842923179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67.262518316505137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22046.125396070373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6233.6282238986078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28279.753619968978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2018-09-06T12:48:27Z</dcterms:modified>
</cp:coreProperties>
</file>