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15" i="5"/>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8" i="13"/>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C13" i="15"/>
  <c r="C16" s="1"/>
  <c r="L6" i="17"/>
  <c r="L5" s="1"/>
  <c r="L16" i="16"/>
  <c r="L18" s="1"/>
  <c r="M13" i="14" s="1"/>
  <c r="I14" i="15"/>
  <c r="I16" s="1"/>
  <c r="J10" i="14" s="1"/>
  <c r="B13" i="16"/>
  <c r="C35"/>
  <c r="D8" i="17"/>
  <c r="E9" i="14"/>
  <c r="D14" i="15"/>
  <c r="P18" i="16"/>
  <c r="P22" s="1"/>
  <c r="Q39" i="14" s="1"/>
  <c r="N6" i="17"/>
  <c r="N5" s="1"/>
  <c r="J8"/>
  <c r="J12" s="1"/>
  <c r="K48" i="14" s="1"/>
  <c r="N16" i="16"/>
  <c r="F8" i="17"/>
  <c r="G22" i="14" s="1"/>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8" s="1"/>
  <c r="F9" i="14"/>
  <c r="D9"/>
  <c r="E19" i="19"/>
  <c r="F35" i="14" s="1"/>
  <c r="C11" i="48"/>
  <c r="D19" i="19"/>
  <c r="E35" i="14" s="1"/>
  <c r="C9"/>
  <c r="B11" i="48"/>
  <c r="E5" i="22"/>
  <c r="E14" s="1"/>
  <c r="D5"/>
  <c r="D14" s="1"/>
  <c r="B5"/>
  <c r="B14" s="1"/>
  <c r="P11" i="48"/>
  <c r="P28"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I5" i="48" l="1"/>
  <c r="I22" s="1"/>
  <c r="L22" i="16"/>
  <c r="M39" i="14" s="1"/>
  <c r="I20" i="15"/>
  <c r="J36" i="14" s="1"/>
  <c r="B35" i="13"/>
  <c r="J15" i="14"/>
  <c r="J23" s="1"/>
  <c r="P8" i="48"/>
  <c r="P25" s="1"/>
  <c r="D18" i="16"/>
  <c r="D22" s="1"/>
  <c r="E39" i="14" s="1"/>
  <c r="G31" i="20"/>
  <c r="H43" i="14" s="1"/>
  <c r="G12" i="22"/>
  <c r="D16" i="15"/>
  <c r="D20" s="1"/>
  <c r="K22" i="14"/>
  <c r="E8" i="17"/>
  <c r="F22" i="14" s="1"/>
  <c r="O18" i="16"/>
  <c r="O22" s="1"/>
  <c r="P39" i="14" s="1"/>
  <c r="B36" i="13"/>
  <c r="H13" i="48"/>
  <c r="H30" s="1"/>
  <c r="H12" i="22"/>
  <c r="B34" i="13"/>
  <c r="B46" s="1"/>
  <c r="E5" s="1"/>
  <c r="E8" s="1"/>
  <c r="E12" s="1"/>
  <c r="F37" i="14" s="1"/>
  <c r="N8" i="17"/>
  <c r="N12" s="1"/>
  <c r="O48" i="14" s="1"/>
  <c r="L8" i="17"/>
  <c r="L12" s="1"/>
  <c r="M48" i="14" s="1"/>
  <c r="M50" i="22"/>
  <c r="M54" s="1"/>
  <c r="M10" i="48" s="1"/>
  <c r="M27" s="1"/>
  <c r="G51" i="22"/>
  <c r="G50" s="1"/>
  <c r="G54" s="1"/>
  <c r="H18" i="14" s="1"/>
  <c r="E22"/>
  <c r="B9" i="48"/>
  <c r="E100" i="18"/>
  <c r="E7" s="1"/>
  <c r="F67" i="14" s="1"/>
  <c r="F69" s="1"/>
  <c r="F7" i="48"/>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H14" s="1"/>
  <c r="E5" i="15"/>
  <c r="O20"/>
  <c r="P36" i="14" s="1"/>
  <c r="P10"/>
  <c r="P20" i="15"/>
  <c r="Q36" i="14" s="1"/>
  <c r="Q41" s="1"/>
  <c r="Q53" s="1"/>
  <c r="Q10"/>
  <c r="Q15" s="1"/>
  <c r="Q23" s="1"/>
  <c r="J5" i="15"/>
  <c r="F4" i="48"/>
  <c r="F21" s="1"/>
  <c r="B69" i="14"/>
  <c r="B4" i="6" s="1"/>
  <c r="L53" i="14"/>
  <c r="F5" i="15"/>
  <c r="F16" s="1"/>
  <c r="B5"/>
  <c r="B16" s="1"/>
  <c r="E13" i="14"/>
  <c r="B5" i="16"/>
  <c r="B18" s="1"/>
  <c r="C13" i="14" s="1"/>
  <c r="N5" i="15"/>
  <c r="N16" s="1"/>
  <c r="F12" i="13"/>
  <c r="G37" i="14" s="1"/>
  <c r="P5" i="48"/>
  <c r="P22" s="1"/>
  <c r="F13" i="16"/>
  <c r="E13"/>
  <c r="N13"/>
  <c r="J13"/>
  <c r="B47" i="13"/>
  <c r="N12" i="16"/>
  <c r="J12"/>
  <c r="F12"/>
  <c r="E12"/>
  <c r="Q11" i="48"/>
  <c r="O5"/>
  <c r="R9" i="14"/>
  <c r="O28" i="48"/>
  <c r="H22"/>
  <c r="K31"/>
  <c r="L26"/>
  <c r="B48" i="13"/>
  <c r="C48" s="1"/>
  <c r="N5" s="1"/>
  <c r="N8" s="1"/>
  <c r="N4" i="48" s="1"/>
  <c r="N21" s="1"/>
  <c r="M29"/>
  <c r="M25"/>
  <c r="M24"/>
  <c r="I31"/>
  <c r="C50" i="13"/>
  <c r="J5" s="1"/>
  <c r="J8" s="1"/>
  <c r="C5" i="48"/>
  <c r="N7" l="1"/>
  <c r="N24" s="1"/>
  <c r="I14"/>
  <c r="P31"/>
  <c r="P13" i="14"/>
  <c r="P15" s="1"/>
  <c r="P23" s="1"/>
  <c r="P55" s="1"/>
  <c r="E7" i="48"/>
  <c r="E24" s="1"/>
  <c r="E12" i="17"/>
  <c r="F48" i="14" s="1"/>
  <c r="O8" i="48"/>
  <c r="O25" s="1"/>
  <c r="J16" i="15"/>
  <c r="K10" i="14" s="1"/>
  <c r="E16" i="15"/>
  <c r="F10" i="14" s="1"/>
  <c r="D8" i="48"/>
  <c r="D25" s="1"/>
  <c r="P41" i="14"/>
  <c r="P53" s="1"/>
  <c r="O22"/>
  <c r="L7" i="48"/>
  <c r="L24" s="1"/>
  <c r="M22" i="14"/>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I19" i="14"/>
  <c r="I20" s="1"/>
  <c r="I23" s="1"/>
  <c r="M18" i="22"/>
  <c r="N45" i="14" s="1"/>
  <c r="M9" i="48"/>
  <c r="N19" i="14"/>
  <c r="P14" i="48"/>
  <c r="B8"/>
  <c r="J5"/>
  <c r="J22" s="1"/>
  <c r="J20" i="15"/>
  <c r="K36" i="14" s="1"/>
  <c r="J55"/>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D31" i="48" l="1"/>
  <c r="E5"/>
  <c r="E22" s="1"/>
  <c r="N18" i="16"/>
  <c r="N8" i="48" s="1"/>
  <c r="L31"/>
  <c r="N20" i="14"/>
  <c r="N23" s="1"/>
  <c r="E20" i="15"/>
  <c r="F36" i="14" s="1"/>
  <c r="F18" i="16"/>
  <c r="G13" i="14" s="1"/>
  <c r="G15" s="1"/>
  <c r="G23" s="1"/>
  <c r="J18" i="16"/>
  <c r="K13" i="14" s="1"/>
  <c r="K15" s="1"/>
  <c r="K23" s="1"/>
  <c r="J9" i="18"/>
  <c r="M7"/>
  <c r="M9" s="1"/>
  <c r="M16"/>
  <c r="M19" s="1"/>
  <c r="E18" i="16"/>
  <c r="E22" s="1"/>
  <c r="F39" i="14" s="1"/>
  <c r="F41" s="1"/>
  <c r="F53" s="1"/>
  <c r="R22"/>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O13"/>
  <c r="O15" s="1"/>
  <c r="F22" i="16"/>
  <c r="G39" i="14" s="1"/>
  <c r="G41" s="1"/>
  <c r="F8" i="48"/>
  <c r="Q4"/>
  <c r="N22"/>
  <c r="R11" i="14"/>
  <c r="J21" i="48"/>
  <c r="R10" i="14"/>
  <c r="Q5" i="48" l="1"/>
  <c r="N22" i="16"/>
  <c r="O39" i="14" s="1"/>
  <c r="O41" s="1"/>
  <c r="O53" s="1"/>
  <c r="E8" i="48"/>
  <c r="E25" s="1"/>
  <c r="E31" s="1"/>
  <c r="F13" i="14"/>
  <c r="F15" s="1"/>
  <c r="F23" s="1"/>
  <c r="F55" s="1"/>
  <c r="J22" i="16"/>
  <c r="K39" i="14" s="1"/>
  <c r="K41" s="1"/>
  <c r="K53" s="1"/>
  <c r="K55" s="1"/>
  <c r="J8" i="48"/>
  <c r="J25" s="1"/>
  <c r="J31" s="1"/>
  <c r="N25"/>
  <c r="N31" s="1"/>
  <c r="N14"/>
  <c r="N55" i="14"/>
  <c r="H55"/>
  <c r="E55"/>
  <c r="C78"/>
  <c r="C81" s="1"/>
  <c r="R19"/>
  <c r="R20" s="1"/>
  <c r="H14" i="48"/>
  <c r="G31"/>
  <c r="H26"/>
  <c r="H31" s="1"/>
  <c r="G53" i="14"/>
  <c r="G55" s="1"/>
  <c r="O69" s="1"/>
  <c r="B9" i="6" s="1"/>
  <c r="B12" s="1"/>
  <c r="M53" i="14"/>
  <c r="M55" s="1"/>
  <c r="C12" i="13"/>
  <c r="D37" i="14" s="1"/>
  <c r="D41" s="1"/>
  <c r="C23" i="48"/>
  <c r="C24"/>
  <c r="C27"/>
  <c r="C28"/>
  <c r="C22"/>
  <c r="C25"/>
  <c r="C29"/>
  <c r="C21"/>
  <c r="C26"/>
  <c r="F25"/>
  <c r="F31" s="1"/>
  <c r="F14"/>
  <c r="J14" l="1"/>
  <c r="R13" i="14"/>
  <c r="R15" s="1"/>
  <c r="R23" s="1"/>
  <c r="E14" i="48"/>
  <c r="Q8"/>
  <c r="Q14"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<sst xmlns="http://schemas.openxmlformats.org/spreadsheetml/2006/main" count="1914" uniqueCount="809">
  <si>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</si>
  <si>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</si>
  <si>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</si>
  <si>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</si>
  <si>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</si>
  <si>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</si>
  <si>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</si>
  <si>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</si>
  <si>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</si>
  <si>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</si>
  <si>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</si>
  <si>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</si>
  <si>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</si>
  <si>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</si>
  <si>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</si>
  <si>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</si>
  <si>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</si>
  <si>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</si>
  <si>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</si>
  <si>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</si>
  <si>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</si>
  <si>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</si>
  <si>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</si>
  <si>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</si>
  <si>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</si>
  <si>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</si>
  <si>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</si>
  <si>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</si>
  <si>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</si>
  <si>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</si>
  <si>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</si>
  <si>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</si>
  <si>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</si>
  <si>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</si>
  <si>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</si>
  <si>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</si>
  <si>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</si>
  <si>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</si>
  <si>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</si>
  <si>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</si>
  <si>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</si>
  <si>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</si>
  <si>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</si>
  <si>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</si>
  <si>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</si>
  <si>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</si>
  <si>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</si>
  <si>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</si>
  <si>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</si>
  <si>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</si>
  <si>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</si>
  <si>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</si>
  <si>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</si>
  <si>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</si>
  <si>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</si>
  <si>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</si>
  <si>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</si>
  <si>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</si>
  <si>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</si>
  <si>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</si>
  <si>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</si>
  <si>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</si>
  <si>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</si>
  <si>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</si>
  <si>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</si>
  <si>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</si>
  <si>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</si>
  <si>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</si>
  <si>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</si>
  <si>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</si>
  <si>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</si>
  <si>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</si>
  <si>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</si>
  <si>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</si>
  <si>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</si>
  <si>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</si>
  <si>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</si>
  <si>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</si>
  <si>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</si>
  <si>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</si>
  <si>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</si>
  <si>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</si>
  <si>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</si>
  <si>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</si>
  <si>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</si>
  <si>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</si>
  <si>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</si>
  <si>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</si>
  <si>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</si>
  <si>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</si>
  <si>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</si>
  <si>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</si>
  <si>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</si>
  <si>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</si>
  <si>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</si>
  <si>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</si>
  <si>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</si>
  <si>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</si>
  <si>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</si>
  <si>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</si>
  <si>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</si>
  <si>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</si>
  <si>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</si>
  <si>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</si>
  <si>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</si>
  <si>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</si>
  <si>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</si>
  <si>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</si>
  <si>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</si>
  <si>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</si>
  <si>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</si>
  <si>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</si>
  <si>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</si>
  <si>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</si>
  <si>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</si>
  <si>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</si>
  <si>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</si>
  <si>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</si>
  <si>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</si>
  <si>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</si>
  <si>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</si>
  <si>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</si>
  <si>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</si>
  <si>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</si>
  <si>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</si>
  <si>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</si>
  <si>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</si>
  <si>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</si>
  <si>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</si>
  <si>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</si>
  <si>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</si>
  <si>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</si>
  <si>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</si>
  <si>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</si>
  <si>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</si>
  <si>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</si>
  <si>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</si>
  <si>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</si>
  <si>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</si>
  <si>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</si>
  <si>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</si>
  <si>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</si>
  <si>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</si>
  <si>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</si>
  <si>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</si>
  <si>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</si>
  <si>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</si>
  <si>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</si>
  <si>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</si>
  <si>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</si>
  <si>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</si>
  <si>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</si>
  <si>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</si>
  <si>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</si>
  <si>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</si>
  <si>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</si>
  <si>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</si>
  <si>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</si>
  <si>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</si>
  <si>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</si>
  <si>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</si>
  <si>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</si>
  <si>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</si>
  <si>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</si>
  <si>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</si>
  <si>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</si>
  <si>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</si>
  <si>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</si>
  <si>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</si>
  <si>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</si>
  <si>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</si>
  <si>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</si>
  <si>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</si>
  <si>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</si>
  <si>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</si>
  <si>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</si>
  <si>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</si>
  <si>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</si>
  <si>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</si>
  <si>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</si>
  <si>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</si>
  <si>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</si>
  <si>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</si>
  <si>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</si>
  <si>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</si>
  <si>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</si>
  <si>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</si>
  <si>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</si>
  <si>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</si>
  <si>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</si>
  <si>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</si>
  <si>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</si>
  <si>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</si>
  <si>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</si>
  <si>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</si>
  <si>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</si>
  <si>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</si>
  <si>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</si>
  <si>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</si>
  <si>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</si>
  <si>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</si>
  <si>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</si>
  <si>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</si>
  <si>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</si>
  <si>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</si>
  <si>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</si>
  <si>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</si>
  <si>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</si>
  <si>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</si>
  <si>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</si>
  <si>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</si>
  <si>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</si>
  <si>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</si>
  <si>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</si>
  <si>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</si>
  <si>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</si>
  <si>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</si>
  <si>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</si>
  <si>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</si>
  <si>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</si>
  <si>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</si>
  <si>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</si>
  <si>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</si>
  <si>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</si>
  <si>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</si>
  <si>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</si>
  <si>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</si>
  <si>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</si>
  <si>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</si>
  <si>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</si>
  <si>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</si>
  <si>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</si>
  <si>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</si>
  <si>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</si>
  <si>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</si>
  <si>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</si>
  <si>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</si>
  <si>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</si>
  <si>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</si>
  <si>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</si>
  <si>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</si>
  <si>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</si>
  <si>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</si>
  <si>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</si>
  <si>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</si>
  <si>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</si>
  <si>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</si>
  <si>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</si>
  <si>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</si>
  <si>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</si>
  <si>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</si>
  <si>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</si>
  <si>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</si>
  <si>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</si>
  <si>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</si>
  <si>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</si>
  <si>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</si>
  <si>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</si>
  <si>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</si>
  <si>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</si>
  <si>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</si>
  <si>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</si>
  <si>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</si>
  <si>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</si>
  <si>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</si>
  <si>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</si>
  <si>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</si>
  <si>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</si>
  <si>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</si>
  <si>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</si>
  <si>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</si>
  <si>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</si>
  <si>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</si>
  <si>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</si>
  <si>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</si>
  <si>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</si>
  <si>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</si>
  <si>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</si>
  <si>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</si>
  <si>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</si>
  <si>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</si>
  <si>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</si>
  <si>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</si>
  <si>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</si>
  <si>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</si>
  <si>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</si>
  <si>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</si>
  <si>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</si>
  <si>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</si>
  <si>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</si>
  <si>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</si>
  <si>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</si>
  <si>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</si>
  <si>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</si>
  <si>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</si>
  <si>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</si>
  <si>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</si>
  <si>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</si>
  <si>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</si>
  <si>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</si>
  <si>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</si>
  <si>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</si>
  <si>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</si>
  <si>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</si>
  <si>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</si>
  <si>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</si>
  <si>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</si>
  <si>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</si>
  <si>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</si>
  <si>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</si>
  <si>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</si>
  <si>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</si>
  <si>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</si>
  <si>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</si>
  <si>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</si>
  <si>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</si>
  <si>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</si>
  <si>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</si>
  <si>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</si>
  <si>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</si>
  <si>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</si>
  <si>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</si>
  <si>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</si>
  <si>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</si>
  <si>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</si>
  <si>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</si>
  <si>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</si>
  <si>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</si>
  <si>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</si>
  <si>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</si>
  <si>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</si>
  <si>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</si>
  <si>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</si>
  <si>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</si>
  <si>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</si>
  <si>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</si>
  <si>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</si>
  <si>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</si>
  <si>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</si>
  <si>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</si>
  <si>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</si>
  <si>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</si>
  <si>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</si>
  <si>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</si>
  <si>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</si>
  <si>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</si>
  <si>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</si>
  <si>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</si>
  <si>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</si>
  <si>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</si>
  <si>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</si>
  <si>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</si>
  <si>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</si>
  <si>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</si>
  <si>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</si>
  <si>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</si>
  <si>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</si>
  <si>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</si>
  <si>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</si>
  <si>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</si>
  <si>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</si>
  <si>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</si>
  <si>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</si>
  <si>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</si>
  <si>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</si>
  <si>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</si>
  <si>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</si>
  <si>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</si>
  <si>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</si>
  <si>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</si>
  <si>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</si>
  <si>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</si>
  <si>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</si>
  <si>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</si>
  <si>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</si>
  <si>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</si>
  <si>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</si>
  <si>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</si>
  <si>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</si>
  <si>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</si>
  <si>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</si>
  <si>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</si>
  <si>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</si>
  <si>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</si>
  <si>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</si>
  <si>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</si>
  <si>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</si>
  <si>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</si>
  <si>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</si>
  <si>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</si>
  <si>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</si>
  <si>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</si>
  <si>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</si>
  <si>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</si>
  <si>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</si>
  <si>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</si>
  <si>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</si>
  <si>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</si>
  <si>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</si>
  <si>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</si>
  <si>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</si>
  <si>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</si>
  <si>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</si>
  <si>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</si>
  <si>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</si>
  <si>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</si>
  <si>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</si>
  <si>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</si>
  <si>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</si>
  <si>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</si>
  <si>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</si>
  <si>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</si>
  <si>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</si>
  <si>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</si>
  <si>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</si>
  <si>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</si>
  <si>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</si>
  <si>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</si>
  <si>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</si>
  <si>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</si>
  <si>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</si>
  <si>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</si>
  <si>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</si>
  <si>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</si>
  <si>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</si>
  <si>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</si>
  <si>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</si>
  <si>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</si>
  <si>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</si>
  <si>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</si>
  <si>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</si>
  <si>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</si>
  <si>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</si>
  <si>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</si>
  <si>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</si>
  <si>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</si>
  <si>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</si>
  <si>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</si>
  <si>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</si>
  <si>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</si>
  <si>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</si>
  <si>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</si>
  <si>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</si>
  <si>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</si>
  <si>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</si>
  <si>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</si>
  <si>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</si>
  <si>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</si>
  <si>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</si>
  <si>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</si>
  <si>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</si>
  <si>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</si>
  <si>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</si>
  <si>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</si>
  <si>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</si>
  <si>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</si>
  <si>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</si>
  <si>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</si>
  <si>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</si>
  <si>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</si>
  <si>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</si>
  <si>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</si>
  <si>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</si>
  <si>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</si>
  <si>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</si>
  <si>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</si>
  <si>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</si>
  <si>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</si>
  <si>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</si>
  <si>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</si>
  <si>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</si>
  <si>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</si>
  <si>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</si>
  <si>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</si>
  <si>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</si>
  <si>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</si>
  <si>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</si>
  <si>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</si>
  <si>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</si>
  <si>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</si>
  <si>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</si>
  <si>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</si>
  <si>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</si>
  <si>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</si>
  <si>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</si>
  <si>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</si>
  <si>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</si>
  <si>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</si>
  <si>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</si>
  <si>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</si>
  <si>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</si>
  <si>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</si>
  <si>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</si>
  <si>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</si>
  <si>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</si>
  <si>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</si>
  <si>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</si>
  <si>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</si>
  <si>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</si>
  <si>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</si>
  <si>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</si>
  <si>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</si>
  <si>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</si>
  <si>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</si>
  <si>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</si>
  <si>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</si>
  <si>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</si>
  <si>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</si>
  <si>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</si>
  <si>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</si>
  <si>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</si>
  <si>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</si>
  <si>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</si>
  <si>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</si>
  <si>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</si>
  <si>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</si>
  <si>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</si>
  <si>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</si>
  <si>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</si>
  <si>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</si>
  <si>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</si>
  <si>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</si>
  <si>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</si>
  <si>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</si>
  <si>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</si>
  <si>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</si>
  <si>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</si>
  <si>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</si>
  <si>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</si>
  <si>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</si>
  <si>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</si>
  <si>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</si>
  <si>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</si>
  <si>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</si>
  <si>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</si>
  <si>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</si>
  <si>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</si>
  <si>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</si>
  <si>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</si>
  <si>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</si>
  <si>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</si>
  <si>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</si>
  <si>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</si>
  <si>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</si>
  <si>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</si>
  <si>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</si>
  <si>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</si>
  <si>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</si>
  <si>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</si>
  <si>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</si>
  <si>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</si>
  <si>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</si>
  <si>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</si>
  <si>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</si>
  <si>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</si>
  <si>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</si>
  <si>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</si>
  <si>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</si>
  <si>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</si>
  <si>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</si>
  <si>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</si>
  <si>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</si>
  <si>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</si>
  <si>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</si>
  <si>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</si>
  <si>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</si>
  <si>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</si>
  <si>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</si>
  <si>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</si>
  <si>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</si>
  <si>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</si>
  <si>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</si>
  <si>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</si>
  <si>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</si>
  <si>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</si>
  <si>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</si>
  <si>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</si>
  <si>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</si>
  <si>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</si>
  <si>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</si>
  <si>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</si>
  <si>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</si>
  <si>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</si>
  <si>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</si>
  <si>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</si>
  <si>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</si>
  <si>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</si>
  <si>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</si>
  <si>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</si>
  <si>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</si>
  <si>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</si>
  <si>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</si>
  <si>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</si>
  <si>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</si>
  <si>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</si>
  <si>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</si>
  <si>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</si>
  <si>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</si>
  <si>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</si>
  <si>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</si>
  <si>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</si>
  <si>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</si>
  <si>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</si>
  <si>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</si>
  <si>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</si>
  <si>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</si>
  <si>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</si>
  <si>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</si>
  <si>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</si>
  <si>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</si>
  <si>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</si>
  <si>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</si>
  <si>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</si>
  <si>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</si>
  <si>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</si>
  <si>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</si>
  <si>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</si>
  <si>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</si>
  <si>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</si>
  <si>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</si>
  <si>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</si>
  <si>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</si>
  <si>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</si>
  <si>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</si>
  <si>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</si>
  <si>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</si>
  <si>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</si>
  <si>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</si>
  <si>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</si>
  <si>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</si>
  <si>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</si>
  <si>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</si>
  <si>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</si>
  <si>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</si>
  <si>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</si>
  <si>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</si>
  <si>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</si>
  <si>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</si>
  <si>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</si>
  <si>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</si>
  <si>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</si>
  <si>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</si>
  <si>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</si>
  <si>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</si>
  <si>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</si>
  <si>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</si>
  <si>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</si>
  <si>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</si>
  <si>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</si>
  <si>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</si>
  <si>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</si>
  <si>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</si>
  <si>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</si>
  <si>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</si>
  <si>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</si>
  <si>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</si>
  <si>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</si>
  <si>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</si>
  <si>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</si>
  <si>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</si>
  <si>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</si>
  <si>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</si>
  <si>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</si>
  <si>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</si>
  <si>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</si>
  <si>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</si>
  <si>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</si>
  <si>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</si>
  <si>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</si>
  <si>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</si>
  <si>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</si>
  <si>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</si>
  <si>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</si>
  <si>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</si>
  <si>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</si>
  <si>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</si>
  <si>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</si>
  <si>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</si>
  <si>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</si>
  <si>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</si>
  <si>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</si>
  <si>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</si>
  <si>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</si>
  <si>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</si>
  <si>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</si>
  <si>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</si>
  <si>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</si>
  <si>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</si>
  <si>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</si>
  <si>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</si>
  <si>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</si>
  <si>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</si>
  <si>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</si>
  <si>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</si>
  <si>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</si>
  <si>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</si>
  <si>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</si>
  <si>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</si>
  <si>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</si>
  <si>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</si>
  <si>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</si>
  <si>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</si>
  <si>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</si>
  <si>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</si>
  <si>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</si>
  <si>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</si>
  <si>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</si>
  <si>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</si>
  <si>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</si>
  <si>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</si>
  <si>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</si>
  <si>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</si>
  <si>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</si>
  <si>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</si>
  <si>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</si>
  <si>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</si>
  <si>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</si>
  <si>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</si>
  <si>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</si>
  <si>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</si>
  <si>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</si>
  <si>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</si>
  <si>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</si>
  <si>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</si>
  <si>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</si>
  <si>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</si>
  <si>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</si>
  <si>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</si>
  <si>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</si>
  <si>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</si>
  <si>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</si>
  <si>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</si>
  <si>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</si>
  <si>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</si>
  <si>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</si>
  <si>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</si>
  <si>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</si>
  <si>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</si>
  <si>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</si>
  <si>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</si>
  <si>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</si>
  <si>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</si>
  <si>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</si>
  <si>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</si>
  <si>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</si>
  <si>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</si>
  <si>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</si>
  <si>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</si>
  <si>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</si>
  <si>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</si>
  <si>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</si>
  <si>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</si>
  <si>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</si>
  <si>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</si>
  <si>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</si>
  <si>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</si>
  <si>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</si>
  <si>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</si>
  <si>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</si>
  <si>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</si>
  <si>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</si>
  <si>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</si>
  <si>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</si>
  <si>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</si>
  <si>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</si>
  <si>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</si>
  <si>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</si>
  <si>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</si>
  <si>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</si>
  <si>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</si>
  <si>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</si>
  <si>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</si>
  <si>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</si>
  <si>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</si>
  <si>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</si>
  <si>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</si>
  <si>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</si>
  <si>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</si>
  <si>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</si>
  <si>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</si>
  <si>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</si>
  <si>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</si>
  <si>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</si>
  <si>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</si>
  <si>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</si>
  <si>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</si>
  <si>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</si>
  <si>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</si>
  <si>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</si>
  <si>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</si>
  <si>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</si>
  <si>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</si>
  <si>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</si>
  <si>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</si>
  <si>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</si>
  <si>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</si>
  <si>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</si>
  <si>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</si>
  <si>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</si>
  <si>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</si>
  <si>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</si>
  <si>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37007</t>
  </si>
  <si>
    <t>MEULEBEKE</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</si>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</sst>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8">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95515.288396188625</c:v>
                </c:pt>
                <c:pt idx="1">
                  <c:v>34030.860924812834</c:v>
                </c:pt>
                <c:pt idx="2">
                  <c:v>537.63199999999995</c:v>
                </c:pt>
                <c:pt idx="3">
                  <c:v>20961.398526820714</c:v>
                </c:pt>
                <c:pt idx="4">
                  <c:v>49884.027924022768</c:v>
                </c:pt>
                <c:pt idx="5">
                  <c:v>44816.032873934993</c:v>
                </c:pt>
                <c:pt idx="6">
                  <c:v>403.47872134261354</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2607232"/>
        <c:axId val="182637696"/>
      </c:barChart>
      <c:catAx>
        <c:axId val="182607232"/>
        <c:scaling>
          <c:orientation val="minMax"/>
        </c:scaling>
        <c:axPos val="b"/>
        <c:numFmt formatCode="General" sourceLinked="0"/>
        <c:tickLblPos val="nextTo"/>
        <c:crossAx val="182637696"/>
        <c:crosses val="autoZero"/>
        <c:auto val="1"/>
        <c:lblAlgn val="ctr"/>
        <c:lblOffset val="100"/>
      </c:catAx>
      <c:valAx>
        <c:axId val="182637696"/>
        <c:scaling>
          <c:orientation val="minMax"/>
        </c:scaling>
        <c:axPos val="l"/>
        <c:majorGridlines/>
        <c:numFmt formatCode="#,##0" sourceLinked="1"/>
        <c:tickLblPos val="nextTo"/>
        <c:crossAx val="18260723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95515.288396188625</c:v>
                </c:pt>
                <c:pt idx="1">
                  <c:v>34030.860924812834</c:v>
                </c:pt>
                <c:pt idx="2">
                  <c:v>537.63199999999995</c:v>
                </c:pt>
                <c:pt idx="3">
                  <c:v>20961.398526820714</c:v>
                </c:pt>
                <c:pt idx="4">
                  <c:v>49884.027924022768</c:v>
                </c:pt>
                <c:pt idx="5">
                  <c:v>44816.032873934993</c:v>
                </c:pt>
                <c:pt idx="6">
                  <c:v>403.47872134261354</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18139.182114816151</c:v>
                </c:pt>
                <c:pt idx="1">
                  <c:v>6248.5809941661919</c:v>
                </c:pt>
                <c:pt idx="2">
                  <c:v>103.07950692061081</c:v>
                </c:pt>
                <c:pt idx="3">
                  <c:v>5298.0442050806796</c:v>
                </c:pt>
                <c:pt idx="4">
                  <c:v>9616.0548099810239</c:v>
                </c:pt>
                <c:pt idx="5">
                  <c:v>11219.371532593221</c:v>
                </c:pt>
                <c:pt idx="6">
                  <c:v>101.93912624577708</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101696"/>
        <c:axId val="183156736"/>
      </c:barChart>
      <c:catAx>
        <c:axId val="183101696"/>
        <c:scaling>
          <c:orientation val="minMax"/>
        </c:scaling>
        <c:axPos val="b"/>
        <c:numFmt formatCode="General" sourceLinked="0"/>
        <c:tickLblPos val="nextTo"/>
        <c:crossAx val="183156736"/>
        <c:crosses val="autoZero"/>
        <c:auto val="1"/>
        <c:lblAlgn val="ctr"/>
        <c:lblOffset val="100"/>
      </c:catAx>
      <c:valAx>
        <c:axId val="183156736"/>
        <c:scaling>
          <c:orientation val="minMax"/>
        </c:scaling>
        <c:axPos val="l"/>
        <c:majorGridlines/>
        <c:numFmt formatCode="#,##0" sourceLinked="1"/>
        <c:tickLblPos val="nextTo"/>
        <c:crossAx val="18310169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18139.182114816151</c:v>
                </c:pt>
                <c:pt idx="1">
                  <c:v>6248.5809941661919</c:v>
                </c:pt>
                <c:pt idx="2">
                  <c:v>103.07950692061081</c:v>
                </c:pt>
                <c:pt idx="3">
                  <c:v>5298.0442050806796</c:v>
                </c:pt>
                <c:pt idx="4">
                  <c:v>9616.0548099810239</c:v>
                </c:pt>
                <c:pt idx="5">
                  <c:v>11219.371532593221</c:v>
                </c:pt>
                <c:pt idx="6">
                  <c:v>101.93912624577708</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37007</v>
      </c>
      <c r="B6" s="415"/>
      <c r="C6" s="416"/>
    </row>
    <row r="7" spans="1:7" s="413" customFormat="1" ht="15.75" customHeight="1">
      <c r="A7" s="417" t="str">
        <f>txtMunicipality</f>
        <v>MEULEBEKE</v>
      </c>
      <c r="B7" s="415"/>
      <c r="C7" s="416"/>
    </row>
    <row r="8" spans="1:7" ht="15.75" thickBot="1">
      <c r="A8" s="45"/>
      <c r="B8" s="108"/>
      <c r="C8" s="109"/>
    </row>
    <row r="9" spans="1:7" s="406" customFormat="1" ht="15.75" thickBot="1">
      <c r="A9" s="430" t="s">
        <v>357</v>
      </c>
      <c r="B9" s="433"/>
      <c r="C9" s="434"/>
    </row>
    <row r="10" spans="1:7" s="15" customFormat="1" ht="57.75" customHeight="1" thickBot="1">
      <c r="A10" s="1015" t="s">
        <v>797</v>
      </c>
      <c r="B10" s="1016"/>
      <c r="C10" s="101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8" t="s">
        <v>520</v>
      </c>
      <c r="C16" s="101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3"/>
      <c r="B4" s="473"/>
      <c r="C4" s="63"/>
      <c r="D4" s="63"/>
      <c r="E4" s="63"/>
      <c r="F4" s="63"/>
      <c r="G4" s="63"/>
      <c r="H4" s="63"/>
      <c r="I4" s="63"/>
      <c r="J4" s="63"/>
      <c r="K4" s="63"/>
      <c r="L4" s="63"/>
      <c r="M4" s="63"/>
      <c r="N4" s="63"/>
      <c r="O4" s="63"/>
      <c r="P4" s="63"/>
      <c r="Q4" s="63"/>
      <c r="R4" s="63"/>
    </row>
    <row r="5" spans="1:19" ht="16.5" thickBot="1">
      <c r="A5" s="1084" t="s">
        <v>222</v>
      </c>
      <c r="B5" s="860"/>
      <c r="C5" s="1087" t="s">
        <v>343</v>
      </c>
      <c r="D5" s="1088"/>
      <c r="E5" s="1088"/>
      <c r="F5" s="1088"/>
      <c r="G5" s="1088"/>
      <c r="H5" s="1088"/>
      <c r="I5" s="1088"/>
      <c r="J5" s="1088"/>
      <c r="K5" s="1088"/>
      <c r="L5" s="1088"/>
      <c r="M5" s="1088"/>
      <c r="N5" s="1088"/>
      <c r="O5" s="1088"/>
      <c r="P5" s="1088"/>
      <c r="Q5" s="1088"/>
      <c r="R5" s="1089"/>
    </row>
    <row r="6" spans="1:19" ht="16.5" thickTop="1">
      <c r="A6" s="1085"/>
      <c r="B6" s="861"/>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2"/>
      <c r="C7" s="1091"/>
      <c r="D7" s="109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8"/>
    </row>
    <row r="8" spans="1:19" ht="18.75" customHeight="1" thickTop="1">
      <c r="A8" s="869" t="s">
        <v>344</v>
      </c>
      <c r="B8" s="874"/>
      <c r="C8" s="1069"/>
      <c r="D8" s="1069"/>
      <c r="E8" s="1069"/>
      <c r="F8" s="1069"/>
      <c r="G8" s="1069"/>
      <c r="H8" s="1069"/>
      <c r="I8" s="1069"/>
      <c r="J8" s="1069"/>
      <c r="K8" s="1069"/>
      <c r="L8" s="1069"/>
      <c r="M8" s="1069"/>
      <c r="N8" s="1069"/>
      <c r="O8" s="1069"/>
      <c r="P8" s="1069"/>
      <c r="Q8" s="106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14520.341458055675</v>
      </c>
      <c r="D10" s="718">
        <f ca="1">tertiair!C16</f>
        <v>0</v>
      </c>
      <c r="E10" s="718">
        <f ca="1">tertiair!D16</f>
        <v>13867.51341380074</v>
      </c>
      <c r="F10" s="718">
        <f>tertiair!E16</f>
        <v>196.10265858070414</v>
      </c>
      <c r="G10" s="718">
        <f ca="1">tertiair!F16</f>
        <v>2703.7871405287206</v>
      </c>
      <c r="H10" s="718">
        <f>tertiair!G16</f>
        <v>0</v>
      </c>
      <c r="I10" s="718">
        <f>tertiair!H16</f>
        <v>0</v>
      </c>
      <c r="J10" s="718">
        <f>tertiair!I16</f>
        <v>0</v>
      </c>
      <c r="K10" s="718">
        <f>tertiair!J16</f>
        <v>8.339822706762412E-2</v>
      </c>
      <c r="L10" s="718">
        <f>tertiair!K16</f>
        <v>0</v>
      </c>
      <c r="M10" s="718">
        <f ca="1">tertiair!L16</f>
        <v>0</v>
      </c>
      <c r="N10" s="718">
        <f>tertiair!M16</f>
        <v>0</v>
      </c>
      <c r="O10" s="718">
        <f ca="1">tertiair!N16</f>
        <v>3280.6648556199289</v>
      </c>
      <c r="P10" s="718">
        <f>tertiair!O16</f>
        <v>0</v>
      </c>
      <c r="Q10" s="719">
        <f>tertiair!P16</f>
        <v>0</v>
      </c>
      <c r="R10" s="721">
        <f ca="1">SUM(C10:Q10)</f>
        <v>34568.492924812832</v>
      </c>
      <c r="S10" s="67"/>
    </row>
    <row r="11" spans="1:19" s="474" customFormat="1">
      <c r="A11" s="870" t="s">
        <v>225</v>
      </c>
      <c r="B11" s="875"/>
      <c r="C11" s="718">
        <f>huishoudens!B8</f>
        <v>18538.961614655782</v>
      </c>
      <c r="D11" s="718">
        <f>huishoudens!C8</f>
        <v>0</v>
      </c>
      <c r="E11" s="718">
        <f>huishoudens!D8</f>
        <v>37546.09584436212</v>
      </c>
      <c r="F11" s="718">
        <f>huishoudens!E8</f>
        <v>5044.3397240610684</v>
      </c>
      <c r="G11" s="718">
        <f>huishoudens!F8</f>
        <v>19139.210314056323</v>
      </c>
      <c r="H11" s="718">
        <f>huishoudens!G8</f>
        <v>0</v>
      </c>
      <c r="I11" s="718">
        <f>huishoudens!H8</f>
        <v>0</v>
      </c>
      <c r="J11" s="718">
        <f>huishoudens!I8</f>
        <v>0</v>
      </c>
      <c r="K11" s="718">
        <f>huishoudens!J8</f>
        <v>2105.0415199622776</v>
      </c>
      <c r="L11" s="718">
        <f>huishoudens!K8</f>
        <v>0</v>
      </c>
      <c r="M11" s="718">
        <f>huishoudens!L8</f>
        <v>0</v>
      </c>
      <c r="N11" s="718">
        <f>huishoudens!M8</f>
        <v>0</v>
      </c>
      <c r="O11" s="718">
        <f>huishoudens!N8</f>
        <v>12674.59937909104</v>
      </c>
      <c r="P11" s="718">
        <f>huishoudens!O8</f>
        <v>200.10666666666668</v>
      </c>
      <c r="Q11" s="719">
        <f>huishoudens!P8</f>
        <v>266.93333333333334</v>
      </c>
      <c r="R11" s="721">
        <f>SUM(C11:Q11)</f>
        <v>95515.288396188625</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12711.024337551464</v>
      </c>
      <c r="D13" s="718">
        <f>industrie!C18</f>
        <v>0</v>
      </c>
      <c r="E13" s="718">
        <f>industrie!D18</f>
        <v>29325.110709750603</v>
      </c>
      <c r="F13" s="718">
        <f>industrie!E18</f>
        <v>1151.3676767262114</v>
      </c>
      <c r="G13" s="718">
        <f>industrie!F18</f>
        <v>3677.5242303475184</v>
      </c>
      <c r="H13" s="718">
        <f>industrie!G18</f>
        <v>0</v>
      </c>
      <c r="I13" s="718">
        <f>industrie!H18</f>
        <v>0</v>
      </c>
      <c r="J13" s="718">
        <f>industrie!I18</f>
        <v>0</v>
      </c>
      <c r="K13" s="718">
        <f>industrie!J18</f>
        <v>34.051726120029741</v>
      </c>
      <c r="L13" s="718">
        <f>industrie!K18</f>
        <v>0</v>
      </c>
      <c r="M13" s="718">
        <f>industrie!L18</f>
        <v>0</v>
      </c>
      <c r="N13" s="718">
        <f>industrie!M18</f>
        <v>0</v>
      </c>
      <c r="O13" s="718">
        <f>industrie!N18</f>
        <v>2984.9492435269444</v>
      </c>
      <c r="P13" s="718">
        <f>industrie!O18</f>
        <v>0</v>
      </c>
      <c r="Q13" s="719">
        <f>industrie!P18</f>
        <v>0</v>
      </c>
      <c r="R13" s="721">
        <f>SUM(C13:Q13)</f>
        <v>49884.027924022768</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45770.327410262915</v>
      </c>
      <c r="D15" s="723">
        <f t="shared" ref="D15:Q15" ca="1" si="0">SUM(D9:D14)</f>
        <v>0</v>
      </c>
      <c r="E15" s="723">
        <f t="shared" ca="1" si="0"/>
        <v>80738.719967913465</v>
      </c>
      <c r="F15" s="723">
        <f t="shared" si="0"/>
        <v>6391.8100593679837</v>
      </c>
      <c r="G15" s="723">
        <f t="shared" ca="1" si="0"/>
        <v>25520.521684932559</v>
      </c>
      <c r="H15" s="723">
        <f t="shared" si="0"/>
        <v>0</v>
      </c>
      <c r="I15" s="723">
        <f t="shared" si="0"/>
        <v>0</v>
      </c>
      <c r="J15" s="723">
        <f t="shared" si="0"/>
        <v>0</v>
      </c>
      <c r="K15" s="723">
        <f t="shared" si="0"/>
        <v>2139.1766443093752</v>
      </c>
      <c r="L15" s="723">
        <f t="shared" si="0"/>
        <v>0</v>
      </c>
      <c r="M15" s="723">
        <f t="shared" ca="1" si="0"/>
        <v>0</v>
      </c>
      <c r="N15" s="723">
        <f t="shared" si="0"/>
        <v>0</v>
      </c>
      <c r="O15" s="723">
        <f t="shared" ca="1" si="0"/>
        <v>18940.213478237914</v>
      </c>
      <c r="P15" s="723">
        <f t="shared" si="0"/>
        <v>200.10666666666668</v>
      </c>
      <c r="Q15" s="724">
        <f t="shared" si="0"/>
        <v>266.93333333333334</v>
      </c>
      <c r="R15" s="725">
        <f ca="1">SUM(R9:R14)</f>
        <v>179967.80924502423</v>
      </c>
      <c r="S15" s="67"/>
    </row>
    <row r="16" spans="1:19" s="474" customFormat="1" ht="15.75">
      <c r="A16" s="872" t="s">
        <v>227</v>
      </c>
      <c r="B16" s="768"/>
      <c r="C16" s="1070"/>
      <c r="D16" s="1070"/>
      <c r="E16" s="1070"/>
      <c r="F16" s="1070"/>
      <c r="G16" s="1070"/>
      <c r="H16" s="1070"/>
      <c r="I16" s="1070"/>
      <c r="J16" s="1070"/>
      <c r="K16" s="1070"/>
      <c r="L16" s="1070"/>
      <c r="M16" s="1070"/>
      <c r="N16" s="1070"/>
      <c r="O16" s="1070"/>
      <c r="P16" s="1070"/>
      <c r="Q16" s="107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381.79448032126243</v>
      </c>
      <c r="I18" s="718">
        <f>transport!H54</f>
        <v>0</v>
      </c>
      <c r="J18" s="718">
        <f>transport!I54</f>
        <v>0</v>
      </c>
      <c r="K18" s="718">
        <f>transport!J54</f>
        <v>0</v>
      </c>
      <c r="L18" s="718">
        <f>transport!K54</f>
        <v>0</v>
      </c>
      <c r="M18" s="718">
        <f>transport!L54</f>
        <v>0</v>
      </c>
      <c r="N18" s="718">
        <f>transport!M54</f>
        <v>21.68424102135112</v>
      </c>
      <c r="O18" s="718">
        <f>transport!N54</f>
        <v>0</v>
      </c>
      <c r="P18" s="718">
        <f>transport!O54</f>
        <v>0</v>
      </c>
      <c r="Q18" s="719">
        <f>transport!P54</f>
        <v>0</v>
      </c>
      <c r="R18" s="721">
        <f>SUM(C18:Q18)</f>
        <v>403.47872134261354</v>
      </c>
      <c r="S18" s="67"/>
    </row>
    <row r="19" spans="1:19" s="474" customFormat="1" ht="15" thickBot="1">
      <c r="A19" s="870" t="s">
        <v>307</v>
      </c>
      <c r="B19" s="875"/>
      <c r="C19" s="727">
        <f>transport!B14</f>
        <v>16.687627234468863</v>
      </c>
      <c r="D19" s="727">
        <f>transport!C14</f>
        <v>0</v>
      </c>
      <c r="E19" s="727">
        <f>transport!D14</f>
        <v>66.013403356058433</v>
      </c>
      <c r="F19" s="727">
        <f>transport!E14</f>
        <v>86.502112934436582</v>
      </c>
      <c r="G19" s="727">
        <f>transport!F14</f>
        <v>0</v>
      </c>
      <c r="H19" s="727">
        <f>transport!G14</f>
        <v>34989.220858785586</v>
      </c>
      <c r="I19" s="727">
        <f>transport!H14</f>
        <v>7393.8930859833426</v>
      </c>
      <c r="J19" s="727">
        <f>transport!I14</f>
        <v>0</v>
      </c>
      <c r="K19" s="727">
        <f>transport!J14</f>
        <v>0</v>
      </c>
      <c r="L19" s="727">
        <f>transport!K14</f>
        <v>0</v>
      </c>
      <c r="M19" s="727">
        <f>transport!L14</f>
        <v>0</v>
      </c>
      <c r="N19" s="727">
        <f>transport!M14</f>
        <v>2263.7157856411004</v>
      </c>
      <c r="O19" s="727">
        <f>transport!N14</f>
        <v>0</v>
      </c>
      <c r="P19" s="727">
        <f>transport!O14</f>
        <v>0</v>
      </c>
      <c r="Q19" s="728">
        <f>transport!P14</f>
        <v>0</v>
      </c>
      <c r="R19" s="729">
        <f>SUM(C19:Q19)</f>
        <v>44816.032873934993</v>
      </c>
      <c r="S19" s="67"/>
    </row>
    <row r="20" spans="1:19" s="474" customFormat="1" ht="15.75" thickBot="1">
      <c r="A20" s="730" t="s">
        <v>230</v>
      </c>
      <c r="B20" s="878"/>
      <c r="C20" s="873">
        <f>SUM(C17:C19)</f>
        <v>16.687627234468863</v>
      </c>
      <c r="D20" s="731">
        <f t="shared" ref="D20:R20" si="1">SUM(D17:D19)</f>
        <v>0</v>
      </c>
      <c r="E20" s="731">
        <f t="shared" si="1"/>
        <v>66.013403356058433</v>
      </c>
      <c r="F20" s="731">
        <f t="shared" si="1"/>
        <v>86.502112934436582</v>
      </c>
      <c r="G20" s="731">
        <f t="shared" si="1"/>
        <v>0</v>
      </c>
      <c r="H20" s="731">
        <f t="shared" si="1"/>
        <v>35371.015339106845</v>
      </c>
      <c r="I20" s="731">
        <f t="shared" si="1"/>
        <v>7393.8930859833426</v>
      </c>
      <c r="J20" s="731">
        <f t="shared" si="1"/>
        <v>0</v>
      </c>
      <c r="K20" s="731">
        <f t="shared" si="1"/>
        <v>0</v>
      </c>
      <c r="L20" s="731">
        <f t="shared" si="1"/>
        <v>0</v>
      </c>
      <c r="M20" s="731">
        <f t="shared" si="1"/>
        <v>0</v>
      </c>
      <c r="N20" s="731">
        <f t="shared" si="1"/>
        <v>2285.4000266624516</v>
      </c>
      <c r="O20" s="731">
        <f t="shared" si="1"/>
        <v>0</v>
      </c>
      <c r="P20" s="731">
        <f t="shared" si="1"/>
        <v>0</v>
      </c>
      <c r="Q20" s="732">
        <f t="shared" si="1"/>
        <v>0</v>
      </c>
      <c r="R20" s="733">
        <f t="shared" si="1"/>
        <v>45219.51159527761</v>
      </c>
      <c r="S20" s="67"/>
    </row>
    <row r="21" spans="1:19" s="474" customFormat="1" ht="15.75">
      <c r="A21" s="872" t="s">
        <v>237</v>
      </c>
      <c r="B21" s="768"/>
      <c r="C21" s="1070"/>
      <c r="D21" s="1070"/>
      <c r="E21" s="1070"/>
      <c r="F21" s="1070"/>
      <c r="G21" s="1070"/>
      <c r="H21" s="1070"/>
      <c r="I21" s="1070"/>
      <c r="J21" s="1070"/>
      <c r="K21" s="1070"/>
      <c r="L21" s="1070"/>
      <c r="M21" s="1070"/>
      <c r="N21" s="1070"/>
      <c r="O21" s="1070"/>
      <c r="P21" s="1070"/>
      <c r="Q21" s="1070"/>
      <c r="R21" s="726"/>
      <c r="S21" s="67"/>
    </row>
    <row r="22" spans="1:19" s="474" customFormat="1" ht="15" thickBot="1">
      <c r="A22" s="870" t="s">
        <v>633</v>
      </c>
      <c r="B22" s="879"/>
      <c r="C22" s="727">
        <f>+landbouw!B8</f>
        <v>3755.5538024252273</v>
      </c>
      <c r="D22" s="727">
        <f>+landbouw!C8</f>
        <v>0</v>
      </c>
      <c r="E22" s="727">
        <f>+landbouw!D8</f>
        <v>905.92423139878611</v>
      </c>
      <c r="F22" s="727">
        <f>+landbouw!E8</f>
        <v>110.38719703856528</v>
      </c>
      <c r="G22" s="727">
        <f>+landbouw!F8</f>
        <v>15645.434201427834</v>
      </c>
      <c r="H22" s="727">
        <f>+landbouw!G8</f>
        <v>0</v>
      </c>
      <c r="I22" s="727">
        <f>+landbouw!H8</f>
        <v>0</v>
      </c>
      <c r="J22" s="727">
        <f>+landbouw!I8</f>
        <v>0</v>
      </c>
      <c r="K22" s="727">
        <f>+landbouw!J8</f>
        <v>544.09909453030048</v>
      </c>
      <c r="L22" s="727">
        <f>+landbouw!K8</f>
        <v>0</v>
      </c>
      <c r="M22" s="727">
        <f>+landbouw!L8</f>
        <v>0</v>
      </c>
      <c r="N22" s="727">
        <f>+landbouw!M8</f>
        <v>0</v>
      </c>
      <c r="O22" s="727">
        <f>+landbouw!N8</f>
        <v>0</v>
      </c>
      <c r="P22" s="727">
        <f>+landbouw!O8</f>
        <v>0</v>
      </c>
      <c r="Q22" s="728">
        <f>+landbouw!P8</f>
        <v>0</v>
      </c>
      <c r="R22" s="729">
        <f>SUM(C22:Q22)</f>
        <v>20961.398526820714</v>
      </c>
      <c r="S22" s="67"/>
    </row>
    <row r="23" spans="1:19" s="474" customFormat="1" ht="17.25" thickTop="1" thickBot="1">
      <c r="A23" s="734" t="s">
        <v>116</v>
      </c>
      <c r="B23" s="864"/>
      <c r="C23" s="735">
        <f ca="1">C20+C15+C22</f>
        <v>49542.568839922606</v>
      </c>
      <c r="D23" s="735">
        <f t="shared" ref="D23:Q23" ca="1" si="2">D20+D15+D22</f>
        <v>0</v>
      </c>
      <c r="E23" s="735">
        <f t="shared" ca="1" si="2"/>
        <v>81710.657602668318</v>
      </c>
      <c r="F23" s="735">
        <f t="shared" si="2"/>
        <v>6588.6993693409859</v>
      </c>
      <c r="G23" s="735">
        <f t="shared" ca="1" si="2"/>
        <v>41165.955886360389</v>
      </c>
      <c r="H23" s="735">
        <f t="shared" si="2"/>
        <v>35371.015339106845</v>
      </c>
      <c r="I23" s="735">
        <f t="shared" si="2"/>
        <v>7393.8930859833426</v>
      </c>
      <c r="J23" s="735">
        <f t="shared" si="2"/>
        <v>0</v>
      </c>
      <c r="K23" s="735">
        <f t="shared" si="2"/>
        <v>2683.2757388396758</v>
      </c>
      <c r="L23" s="735">
        <f t="shared" si="2"/>
        <v>0</v>
      </c>
      <c r="M23" s="735">
        <f t="shared" ca="1" si="2"/>
        <v>0</v>
      </c>
      <c r="N23" s="735">
        <f t="shared" si="2"/>
        <v>2285.4000266624516</v>
      </c>
      <c r="O23" s="735">
        <f t="shared" ca="1" si="2"/>
        <v>18940.213478237914</v>
      </c>
      <c r="P23" s="735">
        <f t="shared" si="2"/>
        <v>200.10666666666668</v>
      </c>
      <c r="Q23" s="736">
        <f t="shared" si="2"/>
        <v>266.93333333333334</v>
      </c>
      <c r="R23" s="737">
        <f ca="1">R20+R15+R22</f>
        <v>246148.71936712254</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1"/>
      <c r="B27" s="1071"/>
      <c r="C27" s="107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20"/>
      <c r="B29" s="1020"/>
      <c r="C29" s="1020"/>
      <c r="D29" s="1020"/>
      <c r="E29" s="1020"/>
      <c r="F29" s="1020"/>
      <c r="G29" s="1020"/>
      <c r="H29" s="1020"/>
      <c r="I29" s="1020"/>
      <c r="J29" s="1020"/>
      <c r="K29" s="1020"/>
      <c r="L29" s="1020"/>
      <c r="M29" s="1020"/>
      <c r="N29" s="1020"/>
      <c r="O29" s="1020"/>
      <c r="P29" s="1020"/>
      <c r="Q29" s="1020"/>
      <c r="R29" s="102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2"/>
      <c r="B31" s="882"/>
      <c r="C31" s="1074" t="s">
        <v>347</v>
      </c>
      <c r="D31" s="1075"/>
      <c r="E31" s="1075"/>
      <c r="F31" s="1075"/>
      <c r="G31" s="1075"/>
      <c r="H31" s="1075"/>
      <c r="I31" s="1075"/>
      <c r="J31" s="1075"/>
      <c r="K31" s="1075"/>
      <c r="L31" s="1075"/>
      <c r="M31" s="1075"/>
      <c r="N31" s="1075"/>
      <c r="O31" s="1075"/>
      <c r="P31" s="1075"/>
      <c r="Q31" s="1075"/>
      <c r="R31" s="1076"/>
    </row>
    <row r="32" spans="1:19" ht="16.5" thickTop="1">
      <c r="A32" s="1073"/>
      <c r="B32" s="883"/>
      <c r="C32" s="1077" t="s">
        <v>21</v>
      </c>
      <c r="D32" s="1037" t="s">
        <v>232</v>
      </c>
      <c r="E32" s="1079" t="s">
        <v>197</v>
      </c>
      <c r="F32" s="1080"/>
      <c r="G32" s="1080"/>
      <c r="H32" s="1080"/>
      <c r="I32" s="1080"/>
      <c r="J32" s="1080"/>
      <c r="K32" s="1080"/>
      <c r="L32" s="1081"/>
      <c r="M32" s="1079" t="s">
        <v>198</v>
      </c>
      <c r="N32" s="1080"/>
      <c r="O32" s="1080"/>
      <c r="P32" s="1080"/>
      <c r="Q32" s="1080"/>
      <c r="R32" s="1021" t="s">
        <v>116</v>
      </c>
    </row>
    <row r="33" spans="1:18" ht="45.75" thickBot="1">
      <c r="A33" s="1073"/>
      <c r="B33" s="883"/>
      <c r="C33" s="1078"/>
      <c r="D33" s="104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2783.9667985076821</v>
      </c>
      <c r="D36" s="718">
        <f ca="1">tertiair!C20</f>
        <v>0</v>
      </c>
      <c r="E36" s="718">
        <f ca="1">tertiair!D20</f>
        <v>2801.2377095877496</v>
      </c>
      <c r="F36" s="718">
        <f>tertiair!E20</f>
        <v>44.515303497819843</v>
      </c>
      <c r="G36" s="718">
        <f ca="1">tertiair!F20</f>
        <v>721.91116652116841</v>
      </c>
      <c r="H36" s="718">
        <f>tertiair!G20</f>
        <v>0</v>
      </c>
      <c r="I36" s="718">
        <f>tertiair!H20</f>
        <v>0</v>
      </c>
      <c r="J36" s="718">
        <f>tertiair!I20</f>
        <v>0</v>
      </c>
      <c r="K36" s="718">
        <f>tertiair!J20</f>
        <v>2.9522972381938937E-2</v>
      </c>
      <c r="L36" s="718">
        <f>tertiair!K20</f>
        <v>0</v>
      </c>
      <c r="M36" s="718">
        <f ca="1">tertiair!L20</f>
        <v>0</v>
      </c>
      <c r="N36" s="718">
        <f>tertiair!M20</f>
        <v>0</v>
      </c>
      <c r="O36" s="718">
        <f ca="1">tertiair!N20</f>
        <v>0</v>
      </c>
      <c r="P36" s="718">
        <f>tertiair!O20</f>
        <v>0</v>
      </c>
      <c r="Q36" s="828">
        <f>tertiair!P20</f>
        <v>0</v>
      </c>
      <c r="R36" s="917">
        <f ca="1">SUM(C36:Q36)</f>
        <v>6351.6605010868025</v>
      </c>
    </row>
    <row r="37" spans="1:18">
      <c r="A37" s="885" t="s">
        <v>225</v>
      </c>
      <c r="B37" s="892"/>
      <c r="C37" s="718">
        <f ca="1">huishoudens!B12</f>
        <v>3554.4517849734561</v>
      </c>
      <c r="D37" s="718">
        <f ca="1">huishoudens!C12</f>
        <v>0</v>
      </c>
      <c r="E37" s="718">
        <f>huishoudens!D12</f>
        <v>7584.3113605611488</v>
      </c>
      <c r="F37" s="718">
        <f>huishoudens!E12</f>
        <v>1145.0651173618626</v>
      </c>
      <c r="G37" s="718">
        <f>huishoudens!F12</f>
        <v>5110.1691538530386</v>
      </c>
      <c r="H37" s="718">
        <f>huishoudens!G12</f>
        <v>0</v>
      </c>
      <c r="I37" s="718">
        <f>huishoudens!H12</f>
        <v>0</v>
      </c>
      <c r="J37" s="718">
        <f>huishoudens!I12</f>
        <v>0</v>
      </c>
      <c r="K37" s="718">
        <f>huishoudens!J12</f>
        <v>745.18469806664621</v>
      </c>
      <c r="L37" s="718">
        <f>huishoudens!K12</f>
        <v>0</v>
      </c>
      <c r="M37" s="718">
        <f>huishoudens!L12</f>
        <v>0</v>
      </c>
      <c r="N37" s="718">
        <f>huishoudens!M12</f>
        <v>0</v>
      </c>
      <c r="O37" s="718">
        <f>huishoudens!N12</f>
        <v>0</v>
      </c>
      <c r="P37" s="718">
        <f>huishoudens!O12</f>
        <v>0</v>
      </c>
      <c r="Q37" s="828">
        <f>huishoudens!P12</f>
        <v>0</v>
      </c>
      <c r="R37" s="917">
        <f ca="1">SUM(C37:Q37)</f>
        <v>18139.182114816151</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2437.0687034452726</v>
      </c>
      <c r="D39" s="718">
        <f ca="1">industrie!C22</f>
        <v>0</v>
      </c>
      <c r="E39" s="718">
        <f>industrie!D22</f>
        <v>5923.672363369622</v>
      </c>
      <c r="F39" s="718">
        <f>industrie!E22</f>
        <v>261.36046261684999</v>
      </c>
      <c r="G39" s="718">
        <f>industrie!F22</f>
        <v>981.89896950278751</v>
      </c>
      <c r="H39" s="718">
        <f>industrie!G22</f>
        <v>0</v>
      </c>
      <c r="I39" s="718">
        <f>industrie!H22</f>
        <v>0</v>
      </c>
      <c r="J39" s="718">
        <f>industrie!I22</f>
        <v>0</v>
      </c>
      <c r="K39" s="718">
        <f>industrie!J22</f>
        <v>12.054311046490527</v>
      </c>
      <c r="L39" s="718">
        <f>industrie!K22</f>
        <v>0</v>
      </c>
      <c r="M39" s="718">
        <f>industrie!L22</f>
        <v>0</v>
      </c>
      <c r="N39" s="718">
        <f>industrie!M22</f>
        <v>0</v>
      </c>
      <c r="O39" s="718">
        <f>industrie!N22</f>
        <v>0</v>
      </c>
      <c r="P39" s="718">
        <f>industrie!O22</f>
        <v>0</v>
      </c>
      <c r="Q39" s="828">
        <f>industrie!P22</f>
        <v>0</v>
      </c>
      <c r="R39" s="918">
        <f ca="1">SUM(C39:Q39)</f>
        <v>9616.0548099810239</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8775.4872869264109</v>
      </c>
      <c r="D41" s="763">
        <f t="shared" ref="D41:R41" ca="1" si="4">SUM(D35:D40)</f>
        <v>0</v>
      </c>
      <c r="E41" s="763">
        <f t="shared" ca="1" si="4"/>
        <v>16309.22143351852</v>
      </c>
      <c r="F41" s="763">
        <f t="shared" si="4"/>
        <v>1450.9408834765322</v>
      </c>
      <c r="G41" s="763">
        <f t="shared" ca="1" si="4"/>
        <v>6813.9792898769947</v>
      </c>
      <c r="H41" s="763">
        <f t="shared" si="4"/>
        <v>0</v>
      </c>
      <c r="I41" s="763">
        <f t="shared" si="4"/>
        <v>0</v>
      </c>
      <c r="J41" s="763">
        <f t="shared" si="4"/>
        <v>0</v>
      </c>
      <c r="K41" s="763">
        <f t="shared" si="4"/>
        <v>757.2685320855187</v>
      </c>
      <c r="L41" s="763">
        <f t="shared" si="4"/>
        <v>0</v>
      </c>
      <c r="M41" s="763">
        <f t="shared" ca="1" si="4"/>
        <v>0</v>
      </c>
      <c r="N41" s="763">
        <f t="shared" si="4"/>
        <v>0</v>
      </c>
      <c r="O41" s="763">
        <f t="shared" ca="1" si="4"/>
        <v>0</v>
      </c>
      <c r="P41" s="763">
        <f t="shared" si="4"/>
        <v>0</v>
      </c>
      <c r="Q41" s="764">
        <f t="shared" si="4"/>
        <v>0</v>
      </c>
      <c r="R41" s="765">
        <f t="shared" ca="1" si="4"/>
        <v>34106.897425883981</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101.93912624577708</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101.93912624577708</v>
      </c>
    </row>
    <row r="45" spans="1:18" ht="15" thickBot="1">
      <c r="A45" s="888" t="s">
        <v>307</v>
      </c>
      <c r="B45" s="898"/>
      <c r="C45" s="727">
        <f ca="1">transport!B18</f>
        <v>3.1994977735774786</v>
      </c>
      <c r="D45" s="727">
        <f>transport!C18</f>
        <v>0</v>
      </c>
      <c r="E45" s="727">
        <f>transport!D18</f>
        <v>13.334707477923804</v>
      </c>
      <c r="F45" s="727">
        <f>transport!E18</f>
        <v>19.635979636117106</v>
      </c>
      <c r="G45" s="727">
        <f>transport!F18</f>
        <v>0</v>
      </c>
      <c r="H45" s="727">
        <f>transport!G18</f>
        <v>9342.1219692957511</v>
      </c>
      <c r="I45" s="727">
        <f>transport!H18</f>
        <v>1841.0793784098523</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11219.371532593221</v>
      </c>
    </row>
    <row r="46" spans="1:18" ht="15.75" thickBot="1">
      <c r="A46" s="886" t="s">
        <v>230</v>
      </c>
      <c r="B46" s="899"/>
      <c r="C46" s="763">
        <f t="shared" ref="C46:R46" ca="1" si="5">SUM(C43:C45)</f>
        <v>3.1994977735774786</v>
      </c>
      <c r="D46" s="763">
        <f t="shared" ca="1" si="5"/>
        <v>0</v>
      </c>
      <c r="E46" s="763">
        <f t="shared" si="5"/>
        <v>13.334707477923804</v>
      </c>
      <c r="F46" s="763">
        <f t="shared" si="5"/>
        <v>19.635979636117106</v>
      </c>
      <c r="G46" s="763">
        <f t="shared" si="5"/>
        <v>0</v>
      </c>
      <c r="H46" s="763">
        <f t="shared" si="5"/>
        <v>9444.0610955415286</v>
      </c>
      <c r="I46" s="763">
        <f t="shared" si="5"/>
        <v>1841.0793784098523</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11321.310658838998</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720.04760536541266</v>
      </c>
      <c r="D48" s="718">
        <f ca="1">+landbouw!C12</f>
        <v>0</v>
      </c>
      <c r="E48" s="718">
        <f>+landbouw!D12</f>
        <v>182.99669474255481</v>
      </c>
      <c r="F48" s="718">
        <f>+landbouw!E12</f>
        <v>25.057893727754319</v>
      </c>
      <c r="G48" s="718">
        <f>+landbouw!F12</f>
        <v>4177.3309317812318</v>
      </c>
      <c r="H48" s="718">
        <f>+landbouw!G12</f>
        <v>0</v>
      </c>
      <c r="I48" s="718">
        <f>+landbouw!H12</f>
        <v>0</v>
      </c>
      <c r="J48" s="718">
        <f>+landbouw!I12</f>
        <v>0</v>
      </c>
      <c r="K48" s="718">
        <f>+landbouw!J12</f>
        <v>192.61107946372636</v>
      </c>
      <c r="L48" s="718">
        <f>+landbouw!K12</f>
        <v>0</v>
      </c>
      <c r="M48" s="718">
        <f>+landbouw!L12</f>
        <v>0</v>
      </c>
      <c r="N48" s="718">
        <f>+landbouw!M12</f>
        <v>0</v>
      </c>
      <c r="O48" s="718">
        <f>+landbouw!N12</f>
        <v>0</v>
      </c>
      <c r="P48" s="718">
        <f>+landbouw!O12</f>
        <v>0</v>
      </c>
      <c r="Q48" s="719">
        <f>+landbouw!P12</f>
        <v>0</v>
      </c>
      <c r="R48" s="761">
        <f ca="1">SUM(C48:Q48)</f>
        <v>5298.0442050806796</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2"/>
      <c r="D50" s="1053"/>
      <c r="E50" s="1053"/>
      <c r="F50" s="1053"/>
      <c r="G50" s="1053"/>
      <c r="H50" s="1053"/>
      <c r="I50" s="1053"/>
      <c r="J50" s="1053"/>
      <c r="K50" s="1053"/>
      <c r="L50" s="1053"/>
      <c r="M50" s="1053"/>
      <c r="N50" s="1053"/>
      <c r="O50" s="1053"/>
      <c r="P50" s="1053"/>
      <c r="Q50" s="1053"/>
      <c r="R50" s="770"/>
    </row>
    <row r="51" spans="1:18" ht="15">
      <c r="A51" s="890" t="s">
        <v>239</v>
      </c>
      <c r="B51" s="875"/>
      <c r="C51" s="1054"/>
      <c r="D51" s="1055"/>
      <c r="E51" s="1055"/>
      <c r="F51" s="1055"/>
      <c r="G51" s="1055"/>
      <c r="H51" s="1055"/>
      <c r="I51" s="1055"/>
      <c r="J51" s="1055"/>
      <c r="K51" s="1055"/>
      <c r="L51" s="1055"/>
      <c r="M51" s="1055"/>
      <c r="N51" s="1055"/>
      <c r="O51" s="1055"/>
      <c r="P51" s="1055"/>
      <c r="Q51" s="1055"/>
      <c r="R51" s="771"/>
    </row>
    <row r="52" spans="1:18" ht="15" thickBot="1">
      <c r="A52" s="902" t="s">
        <v>240</v>
      </c>
      <c r="B52" s="903"/>
      <c r="C52" s="1054"/>
      <c r="D52" s="1055"/>
      <c r="E52" s="1055"/>
      <c r="F52" s="1055"/>
      <c r="G52" s="1055"/>
      <c r="H52" s="1055"/>
      <c r="I52" s="1055"/>
      <c r="J52" s="1055"/>
      <c r="K52" s="1055"/>
      <c r="L52" s="1055"/>
      <c r="M52" s="1055"/>
      <c r="N52" s="1055"/>
      <c r="O52" s="1055"/>
      <c r="P52" s="1055"/>
      <c r="Q52" s="1055"/>
      <c r="R52" s="762"/>
    </row>
    <row r="53" spans="1:18" ht="16.5" thickBot="1">
      <c r="A53" s="906" t="s">
        <v>116</v>
      </c>
      <c r="B53" s="907"/>
      <c r="C53" s="772">
        <f ca="1">C41+C46+C48</f>
        <v>9498.7343900654014</v>
      </c>
      <c r="D53" s="773">
        <f t="shared" ref="D53:Q53" ca="1" si="6">D41+D46+D48</f>
        <v>0</v>
      </c>
      <c r="E53" s="773">
        <f t="shared" ca="1" si="6"/>
        <v>16505.552835738999</v>
      </c>
      <c r="F53" s="773">
        <f t="shared" si="6"/>
        <v>1495.6347568404037</v>
      </c>
      <c r="G53" s="773">
        <f t="shared" ca="1" si="6"/>
        <v>10991.310221658227</v>
      </c>
      <c r="H53" s="773">
        <f t="shared" si="6"/>
        <v>9444.0610955415286</v>
      </c>
      <c r="I53" s="773">
        <f t="shared" si="6"/>
        <v>1841.0793784098523</v>
      </c>
      <c r="J53" s="773">
        <f t="shared" si="6"/>
        <v>0</v>
      </c>
      <c r="K53" s="773">
        <f t="shared" si="6"/>
        <v>949.87961154924506</v>
      </c>
      <c r="L53" s="773">
        <f t="shared" si="6"/>
        <v>0</v>
      </c>
      <c r="M53" s="773">
        <f t="shared" ca="1" si="6"/>
        <v>0</v>
      </c>
      <c r="N53" s="773">
        <f t="shared" si="6"/>
        <v>0</v>
      </c>
      <c r="O53" s="773">
        <f t="shared" ca="1" si="6"/>
        <v>0</v>
      </c>
      <c r="P53" s="773">
        <f>P41+P46+P48</f>
        <v>0</v>
      </c>
      <c r="Q53" s="774">
        <f t="shared" si="6"/>
        <v>0</v>
      </c>
      <c r="R53" s="775">
        <f ca="1">R41+R46+R48</f>
        <v>50726.252289803662</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0.19172874181709954</v>
      </c>
      <c r="D55" s="836">
        <f t="shared" ca="1" si="7"/>
        <v>0</v>
      </c>
      <c r="E55" s="836">
        <f t="shared" ca="1" si="7"/>
        <v>0.20199999999999999</v>
      </c>
      <c r="F55" s="836">
        <f t="shared" si="7"/>
        <v>0.22699999999999998</v>
      </c>
      <c r="G55" s="836">
        <f t="shared" ca="1" si="7"/>
        <v>0.26700000000000007</v>
      </c>
      <c r="H55" s="836">
        <f t="shared" si="7"/>
        <v>0.26700000000000002</v>
      </c>
      <c r="I55" s="836">
        <f t="shared" si="7"/>
        <v>0.249</v>
      </c>
      <c r="J55" s="836">
        <f t="shared" si="7"/>
        <v>0</v>
      </c>
      <c r="K55" s="836">
        <f t="shared" si="7"/>
        <v>0.35399999999999993</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20"/>
      <c r="B59" s="1020"/>
      <c r="C59" s="1020"/>
      <c r="D59" s="1020"/>
      <c r="E59" s="1020"/>
      <c r="F59" s="1020"/>
      <c r="G59" s="1020"/>
      <c r="H59" s="1020"/>
      <c r="I59" s="1020"/>
      <c r="J59" s="1020"/>
      <c r="K59" s="1020"/>
      <c r="L59" s="1020"/>
      <c r="M59" s="1020"/>
      <c r="N59" s="1020"/>
      <c r="O59" s="1020"/>
      <c r="P59" s="1020"/>
      <c r="Q59" s="102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1" t="s">
        <v>241</v>
      </c>
      <c r="B61" s="1035" t="s">
        <v>351</v>
      </c>
      <c r="C61" s="1027"/>
      <c r="D61" s="1024" t="s">
        <v>352</v>
      </c>
      <c r="E61" s="1025"/>
      <c r="F61" s="1025"/>
      <c r="G61" s="1025"/>
      <c r="H61" s="1025"/>
      <c r="I61" s="1025"/>
      <c r="J61" s="1025"/>
      <c r="K61" s="1025"/>
      <c r="L61" s="1025"/>
      <c r="M61" s="1026"/>
      <c r="N61" s="1027" t="s">
        <v>642</v>
      </c>
      <c r="O61" s="1060" t="s">
        <v>641</v>
      </c>
      <c r="P61" s="1061"/>
      <c r="Q61" s="785"/>
      <c r="R61" s="742"/>
    </row>
    <row r="62" spans="1:18" ht="31.5" thickTop="1" thickBot="1">
      <c r="A62" s="1022"/>
      <c r="B62" s="1059"/>
      <c r="C62" s="1029"/>
      <c r="D62" s="1056" t="s">
        <v>197</v>
      </c>
      <c r="E62" s="1057"/>
      <c r="F62" s="1057"/>
      <c r="G62" s="1057"/>
      <c r="H62" s="1058"/>
      <c r="I62" s="786" t="s">
        <v>245</v>
      </c>
      <c r="J62" s="787" t="s">
        <v>246</v>
      </c>
      <c r="K62" s="787" t="s">
        <v>234</v>
      </c>
      <c r="L62" s="787" t="s">
        <v>247</v>
      </c>
      <c r="M62" s="1041" t="s">
        <v>127</v>
      </c>
      <c r="N62" s="1028"/>
      <c r="O62" s="926"/>
      <c r="P62" s="927"/>
      <c r="Q62" s="785"/>
      <c r="R62" s="742"/>
    </row>
    <row r="63" spans="1:18" ht="95.25" customHeight="1" thickTop="1" thickBot="1">
      <c r="A63" s="1023"/>
      <c r="B63" s="854" t="s">
        <v>555</v>
      </c>
      <c r="C63" s="854" t="s">
        <v>640</v>
      </c>
      <c r="D63" s="788" t="s">
        <v>199</v>
      </c>
      <c r="E63" s="789" t="s">
        <v>200</v>
      </c>
      <c r="F63" s="790" t="s">
        <v>201</v>
      </c>
      <c r="G63" s="791" t="s">
        <v>203</v>
      </c>
      <c r="H63" s="792" t="s">
        <v>204</v>
      </c>
      <c r="I63" s="793"/>
      <c r="J63" s="789"/>
      <c r="K63" s="789"/>
      <c r="L63" s="789"/>
      <c r="M63" s="1065"/>
      <c r="N63" s="1029"/>
      <c r="O63" s="857" t="s">
        <v>643</v>
      </c>
      <c r="P63" s="855" t="s">
        <v>644</v>
      </c>
      <c r="Q63" s="785"/>
      <c r="R63" s="742"/>
    </row>
    <row r="64" spans="1:18" ht="15.75" thickTop="1">
      <c r="A64" s="794" t="s">
        <v>249</v>
      </c>
      <c r="B64" s="908">
        <f>'lokale energieproductie'!B4</f>
        <v>0</v>
      </c>
      <c r="C64" s="795">
        <f>'lokale energieproductie'!B4</f>
        <v>0</v>
      </c>
      <c r="D64" s="1066"/>
      <c r="E64" s="1043"/>
      <c r="F64" s="1043"/>
      <c r="G64" s="1046"/>
      <c r="H64" s="1049"/>
      <c r="I64" s="796"/>
      <c r="J64" s="796"/>
      <c r="K64" s="796"/>
      <c r="L64" s="796"/>
      <c r="M64" s="1062"/>
      <c r="N64" s="921">
        <v>0</v>
      </c>
      <c r="O64" s="928"/>
      <c r="P64" s="921">
        <v>0</v>
      </c>
      <c r="Q64" s="785"/>
      <c r="R64" s="783"/>
    </row>
    <row r="65" spans="1:18" ht="15">
      <c r="A65" s="797" t="s">
        <v>250</v>
      </c>
      <c r="B65" s="794">
        <f>'lokale energieproductie'!B5</f>
        <v>0</v>
      </c>
      <c r="C65" s="795">
        <f>'lokale energieproductie'!B5</f>
        <v>0</v>
      </c>
      <c r="D65" s="1067"/>
      <c r="E65" s="1044"/>
      <c r="F65" s="1044"/>
      <c r="G65" s="1047"/>
      <c r="H65" s="1050"/>
      <c r="I65" s="798"/>
      <c r="J65" s="798"/>
      <c r="K65" s="798"/>
      <c r="L65" s="798"/>
      <c r="M65" s="1063"/>
      <c r="N65" s="922">
        <v>0</v>
      </c>
      <c r="O65" s="928"/>
      <c r="P65" s="922">
        <v>0</v>
      </c>
      <c r="Q65" s="785"/>
      <c r="R65" s="748"/>
    </row>
    <row r="66" spans="1:18" ht="15">
      <c r="A66" s="797" t="s">
        <v>251</v>
      </c>
      <c r="B66" s="794">
        <f>'lokale energieproductie'!B6</f>
        <v>6561.8702423416144</v>
      </c>
      <c r="C66" s="795">
        <f>'lokale energieproductie'!B6</f>
        <v>6561.8702423416144</v>
      </c>
      <c r="D66" s="1068"/>
      <c r="E66" s="1045"/>
      <c r="F66" s="1045"/>
      <c r="G66" s="1048"/>
      <c r="H66" s="1051"/>
      <c r="I66" s="799"/>
      <c r="J66" s="799"/>
      <c r="K66" s="799"/>
      <c r="L66" s="799"/>
      <c r="M66" s="1064"/>
      <c r="N66" s="922">
        <v>0</v>
      </c>
      <c r="O66" s="928"/>
      <c r="P66" s="922">
        <v>0</v>
      </c>
      <c r="Q66" s="785"/>
      <c r="R66" s="783"/>
    </row>
    <row r="67" spans="1:18" ht="15">
      <c r="A67" s="800" t="s">
        <v>252</v>
      </c>
      <c r="B67" s="794">
        <f>'lokale energieproductie'!B7</f>
        <v>0</v>
      </c>
      <c r="C67" s="794">
        <f>B67*IFERROR(SUM(J67:L67)/SUM(D67:M67),0)</f>
        <v>0</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6561.8702423416144</v>
      </c>
      <c r="C69" s="803">
        <f>SUM(C64:C68)</f>
        <v>6561.8702423416144</v>
      </c>
      <c r="D69" s="804">
        <f t="shared" ref="D69:M69" si="8">SUM(D67:D68)</f>
        <v>0</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20"/>
      <c r="B73" s="1020"/>
      <c r="C73" s="1020"/>
      <c r="D73" s="1020"/>
      <c r="E73" s="1020"/>
      <c r="F73" s="1020"/>
      <c r="G73" s="1020"/>
      <c r="H73" s="1020"/>
      <c r="I73" s="1020"/>
      <c r="J73" s="1020"/>
      <c r="K73" s="1020"/>
      <c r="L73" s="1020"/>
      <c r="M73" s="1020"/>
      <c r="N73" s="1020"/>
      <c r="O73" s="1020"/>
      <c r="P73" s="102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1" t="s">
        <v>253</v>
      </c>
      <c r="B75" s="1035" t="s">
        <v>355</v>
      </c>
      <c r="C75" s="1027"/>
      <c r="D75" s="1024" t="s">
        <v>356</v>
      </c>
      <c r="E75" s="1025"/>
      <c r="F75" s="1025"/>
      <c r="G75" s="1025"/>
      <c r="H75" s="1025"/>
      <c r="I75" s="1025"/>
      <c r="J75" s="1025"/>
      <c r="K75" s="1025"/>
      <c r="L75" s="1025"/>
      <c r="M75" s="1026"/>
      <c r="N75" s="1027" t="s">
        <v>642</v>
      </c>
      <c r="O75" s="1035" t="s">
        <v>641</v>
      </c>
      <c r="P75" s="1027"/>
      <c r="Q75" s="812"/>
      <c r="R75" s="742"/>
    </row>
    <row r="76" spans="1:18" ht="16.5" thickTop="1" thickBot="1">
      <c r="A76" s="1022"/>
      <c r="B76" s="1036"/>
      <c r="C76" s="1028"/>
      <c r="D76" s="1030" t="s">
        <v>197</v>
      </c>
      <c r="E76" s="1031"/>
      <c r="F76" s="1031"/>
      <c r="G76" s="1031"/>
      <c r="H76" s="1032"/>
      <c r="I76" s="1033" t="s">
        <v>245</v>
      </c>
      <c r="J76" s="1033" t="s">
        <v>246</v>
      </c>
      <c r="K76" s="1037" t="s">
        <v>234</v>
      </c>
      <c r="L76" s="1039" t="s">
        <v>257</v>
      </c>
      <c r="M76" s="1041" t="s">
        <v>127</v>
      </c>
      <c r="N76" s="1028"/>
      <c r="O76" s="926"/>
      <c r="P76" s="927"/>
      <c r="Q76" s="812"/>
      <c r="R76" s="742"/>
    </row>
    <row r="77" spans="1:18" ht="110.25" customHeight="1" thickTop="1" thickBot="1">
      <c r="A77" s="1023"/>
      <c r="B77" s="909" t="s">
        <v>555</v>
      </c>
      <c r="C77" s="909" t="s">
        <v>640</v>
      </c>
      <c r="D77" s="813" t="s">
        <v>199</v>
      </c>
      <c r="E77" s="789" t="s">
        <v>200</v>
      </c>
      <c r="F77" s="814" t="s">
        <v>201</v>
      </c>
      <c r="G77" s="789" t="s">
        <v>203</v>
      </c>
      <c r="H77" s="815" t="s">
        <v>204</v>
      </c>
      <c r="I77" s="1034"/>
      <c r="J77" s="1034"/>
      <c r="K77" s="1038"/>
      <c r="L77" s="1040"/>
      <c r="M77" s="1042"/>
      <c r="N77" s="1029"/>
      <c r="O77" s="857" t="s">
        <v>643</v>
      </c>
      <c r="P77" s="855" t="s">
        <v>644</v>
      </c>
      <c r="Q77" s="812"/>
      <c r="R77" s="742"/>
    </row>
    <row r="78" spans="1:18" ht="15.75" thickTop="1">
      <c r="A78" s="816" t="s">
        <v>252</v>
      </c>
      <c r="B78" s="817">
        <f>'lokale energieproductie'!B16</f>
        <v>0</v>
      </c>
      <c r="C78" s="817">
        <f>B78*IFERROR(SUM(I78:L78)/SUM(D78:M78),0)</f>
        <v>0</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0</v>
      </c>
      <c r="C81" s="803">
        <f>SUM(C78:C80)</f>
        <v>0</v>
      </c>
      <c r="D81" s="803">
        <f t="shared" ref="D81:P81" si="9">SUM(D78:D80)</f>
        <v>0</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5" sqref="D25"/>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9" t="s">
        <v>550</v>
      </c>
      <c r="B1" s="1100" t="s">
        <v>546</v>
      </c>
      <c r="C1" s="1100"/>
      <c r="D1" s="1100"/>
      <c r="E1" s="1100"/>
      <c r="F1" s="1100"/>
      <c r="G1" s="1100"/>
      <c r="H1" s="1100"/>
      <c r="I1" s="1100"/>
      <c r="J1" s="1100"/>
      <c r="K1" s="1100"/>
      <c r="L1" s="1100"/>
      <c r="M1" s="1100"/>
      <c r="N1" s="1100"/>
      <c r="O1" s="1100"/>
      <c r="P1" s="1101"/>
      <c r="Q1" s="475"/>
    </row>
    <row r="2" spans="1:17">
      <c r="A2" s="1099"/>
      <c r="B2" s="1102" t="s">
        <v>21</v>
      </c>
      <c r="C2" s="1104" t="s">
        <v>196</v>
      </c>
      <c r="D2" s="1106" t="s">
        <v>197</v>
      </c>
      <c r="E2" s="1107"/>
      <c r="F2" s="1107"/>
      <c r="G2" s="1107"/>
      <c r="H2" s="1107"/>
      <c r="I2" s="1107"/>
      <c r="J2" s="1107"/>
      <c r="K2" s="1103"/>
      <c r="L2" s="1106" t="s">
        <v>198</v>
      </c>
      <c r="M2" s="1107"/>
      <c r="N2" s="1107"/>
      <c r="O2" s="1107"/>
      <c r="P2" s="1103"/>
      <c r="Q2" s="475"/>
    </row>
    <row r="3" spans="1:17" ht="45">
      <c r="A3" s="1099"/>
      <c r="B3" s="1103"/>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18538.961614655782</v>
      </c>
      <c r="C4" s="478">
        <f>huishoudens!C8</f>
        <v>0</v>
      </c>
      <c r="D4" s="478">
        <f>huishoudens!D8</f>
        <v>37546.09584436212</v>
      </c>
      <c r="E4" s="478">
        <f>huishoudens!E8</f>
        <v>5044.3397240610684</v>
      </c>
      <c r="F4" s="478">
        <f>huishoudens!F8</f>
        <v>19139.210314056323</v>
      </c>
      <c r="G4" s="478">
        <f>huishoudens!G8</f>
        <v>0</v>
      </c>
      <c r="H4" s="478">
        <f>huishoudens!H8</f>
        <v>0</v>
      </c>
      <c r="I4" s="478">
        <f>huishoudens!I8</f>
        <v>0</v>
      </c>
      <c r="J4" s="478">
        <f>huishoudens!J8</f>
        <v>2105.0415199622776</v>
      </c>
      <c r="K4" s="478">
        <f>huishoudens!K8</f>
        <v>0</v>
      </c>
      <c r="L4" s="478">
        <f>huishoudens!L8</f>
        <v>0</v>
      </c>
      <c r="M4" s="478">
        <f>huishoudens!M8</f>
        <v>0</v>
      </c>
      <c r="N4" s="478">
        <f>huishoudens!N8</f>
        <v>12674.59937909104</v>
      </c>
      <c r="O4" s="478">
        <f>huishoudens!O8</f>
        <v>200.10666666666668</v>
      </c>
      <c r="P4" s="479">
        <f>huishoudens!P8</f>
        <v>266.93333333333334</v>
      </c>
      <c r="Q4" s="480">
        <f>SUM(B4:P4)</f>
        <v>95515.288396188625</v>
      </c>
    </row>
    <row r="5" spans="1:17">
      <c r="A5" s="477" t="s">
        <v>156</v>
      </c>
      <c r="B5" s="478">
        <f ca="1">tertiair!B16</f>
        <v>13982.709458055675</v>
      </c>
      <c r="C5" s="478">
        <f ca="1">tertiair!C16</f>
        <v>0</v>
      </c>
      <c r="D5" s="478">
        <f ca="1">tertiair!D16</f>
        <v>13867.51341380074</v>
      </c>
      <c r="E5" s="478">
        <f>tertiair!E16</f>
        <v>196.10265858070414</v>
      </c>
      <c r="F5" s="478">
        <f ca="1">tertiair!F16</f>
        <v>2703.7871405287206</v>
      </c>
      <c r="G5" s="478">
        <f>tertiair!G16</f>
        <v>0</v>
      </c>
      <c r="H5" s="478">
        <f>tertiair!H16</f>
        <v>0</v>
      </c>
      <c r="I5" s="478">
        <f>tertiair!I16</f>
        <v>0</v>
      </c>
      <c r="J5" s="478">
        <f>tertiair!J16</f>
        <v>8.339822706762412E-2</v>
      </c>
      <c r="K5" s="478">
        <f>tertiair!K16</f>
        <v>0</v>
      </c>
      <c r="L5" s="478">
        <f ca="1">tertiair!L16</f>
        <v>0</v>
      </c>
      <c r="M5" s="478">
        <f>tertiair!M16</f>
        <v>0</v>
      </c>
      <c r="N5" s="478">
        <f ca="1">tertiair!N16</f>
        <v>3280.6648556199289</v>
      </c>
      <c r="O5" s="478">
        <f>tertiair!O16</f>
        <v>0</v>
      </c>
      <c r="P5" s="479">
        <f>tertiair!P16</f>
        <v>0</v>
      </c>
      <c r="Q5" s="477">
        <f t="shared" ref="Q5:Q13" ca="1" si="0">SUM(B5:P5)</f>
        <v>34030.860924812834</v>
      </c>
    </row>
    <row r="6" spans="1:17">
      <c r="A6" s="477" t="s">
        <v>194</v>
      </c>
      <c r="B6" s="478">
        <f>'openbare verlichting'!B8</f>
        <v>537.63199999999995</v>
      </c>
      <c r="C6" s="478"/>
      <c r="D6" s="478"/>
      <c r="E6" s="478"/>
      <c r="F6" s="478"/>
      <c r="G6" s="478"/>
      <c r="H6" s="478"/>
      <c r="I6" s="478"/>
      <c r="J6" s="478"/>
      <c r="K6" s="478"/>
      <c r="L6" s="478"/>
      <c r="M6" s="478"/>
      <c r="N6" s="478"/>
      <c r="O6" s="478"/>
      <c r="P6" s="479"/>
      <c r="Q6" s="477">
        <f t="shared" si="0"/>
        <v>537.63199999999995</v>
      </c>
    </row>
    <row r="7" spans="1:17">
      <c r="A7" s="477" t="s">
        <v>112</v>
      </c>
      <c r="B7" s="478">
        <f>landbouw!B8</f>
        <v>3755.5538024252273</v>
      </c>
      <c r="C7" s="478">
        <f>landbouw!C8</f>
        <v>0</v>
      </c>
      <c r="D7" s="478">
        <f>landbouw!D8</f>
        <v>905.92423139878611</v>
      </c>
      <c r="E7" s="478">
        <f>landbouw!E8</f>
        <v>110.38719703856528</v>
      </c>
      <c r="F7" s="478">
        <f>landbouw!F8</f>
        <v>15645.434201427834</v>
      </c>
      <c r="G7" s="478">
        <f>landbouw!G8</f>
        <v>0</v>
      </c>
      <c r="H7" s="478">
        <f>landbouw!H8</f>
        <v>0</v>
      </c>
      <c r="I7" s="478">
        <f>landbouw!I8</f>
        <v>0</v>
      </c>
      <c r="J7" s="478">
        <f>landbouw!J8</f>
        <v>544.09909453030048</v>
      </c>
      <c r="K7" s="478">
        <f>landbouw!K8</f>
        <v>0</v>
      </c>
      <c r="L7" s="478">
        <f>landbouw!L8</f>
        <v>0</v>
      </c>
      <c r="M7" s="478">
        <f>landbouw!M8</f>
        <v>0</v>
      </c>
      <c r="N7" s="478">
        <f>landbouw!N8</f>
        <v>0</v>
      </c>
      <c r="O7" s="478">
        <f>landbouw!O8</f>
        <v>0</v>
      </c>
      <c r="P7" s="479">
        <f>landbouw!P8</f>
        <v>0</v>
      </c>
      <c r="Q7" s="477">
        <f t="shared" si="0"/>
        <v>20961.398526820714</v>
      </c>
    </row>
    <row r="8" spans="1:17">
      <c r="A8" s="477" t="s">
        <v>635</v>
      </c>
      <c r="B8" s="478">
        <f>industrie!B18</f>
        <v>12711.024337551464</v>
      </c>
      <c r="C8" s="478">
        <f>industrie!C18</f>
        <v>0</v>
      </c>
      <c r="D8" s="478">
        <f>industrie!D18</f>
        <v>29325.110709750603</v>
      </c>
      <c r="E8" s="478">
        <f>industrie!E18</f>
        <v>1151.3676767262114</v>
      </c>
      <c r="F8" s="478">
        <f>industrie!F18</f>
        <v>3677.5242303475184</v>
      </c>
      <c r="G8" s="478">
        <f>industrie!G18</f>
        <v>0</v>
      </c>
      <c r="H8" s="478">
        <f>industrie!H18</f>
        <v>0</v>
      </c>
      <c r="I8" s="478">
        <f>industrie!I18</f>
        <v>0</v>
      </c>
      <c r="J8" s="478">
        <f>industrie!J18</f>
        <v>34.051726120029741</v>
      </c>
      <c r="K8" s="478">
        <f>industrie!K18</f>
        <v>0</v>
      </c>
      <c r="L8" s="478">
        <f>industrie!L18</f>
        <v>0</v>
      </c>
      <c r="M8" s="478">
        <f>industrie!M18</f>
        <v>0</v>
      </c>
      <c r="N8" s="478">
        <f>industrie!N18</f>
        <v>2984.9492435269444</v>
      </c>
      <c r="O8" s="478">
        <f>industrie!O18</f>
        <v>0</v>
      </c>
      <c r="P8" s="479">
        <f>industrie!P18</f>
        <v>0</v>
      </c>
      <c r="Q8" s="477">
        <f t="shared" si="0"/>
        <v>49884.027924022768</v>
      </c>
    </row>
    <row r="9" spans="1:17" s="483" customFormat="1">
      <c r="A9" s="481" t="s">
        <v>561</v>
      </c>
      <c r="B9" s="482">
        <f>transport!B14</f>
        <v>16.687627234468863</v>
      </c>
      <c r="C9" s="482">
        <f>transport!C14</f>
        <v>0</v>
      </c>
      <c r="D9" s="482">
        <f>transport!D14</f>
        <v>66.013403356058433</v>
      </c>
      <c r="E9" s="482">
        <f>transport!E14</f>
        <v>86.502112934436582</v>
      </c>
      <c r="F9" s="482">
        <f>transport!F14</f>
        <v>0</v>
      </c>
      <c r="G9" s="482">
        <f>transport!G14</f>
        <v>34989.220858785586</v>
      </c>
      <c r="H9" s="482">
        <f>transport!H14</f>
        <v>7393.8930859833426</v>
      </c>
      <c r="I9" s="482">
        <f>transport!I14</f>
        <v>0</v>
      </c>
      <c r="J9" s="482">
        <f>transport!J14</f>
        <v>0</v>
      </c>
      <c r="K9" s="482">
        <f>transport!K14</f>
        <v>0</v>
      </c>
      <c r="L9" s="482">
        <f>transport!L14</f>
        <v>0</v>
      </c>
      <c r="M9" s="482">
        <f>transport!M14</f>
        <v>2263.7157856411004</v>
      </c>
      <c r="N9" s="482">
        <f>transport!N14</f>
        <v>0</v>
      </c>
      <c r="O9" s="482">
        <f>transport!O14</f>
        <v>0</v>
      </c>
      <c r="P9" s="482">
        <f>transport!P14</f>
        <v>0</v>
      </c>
      <c r="Q9" s="481">
        <f>SUM(B9:P9)</f>
        <v>44816.032873934993</v>
      </c>
    </row>
    <row r="10" spans="1:17">
      <c r="A10" s="477" t="s">
        <v>551</v>
      </c>
      <c r="B10" s="478">
        <f>transport!B54</f>
        <v>0</v>
      </c>
      <c r="C10" s="478">
        <f>transport!C54</f>
        <v>0</v>
      </c>
      <c r="D10" s="478">
        <f>transport!D54</f>
        <v>0</v>
      </c>
      <c r="E10" s="478">
        <f>transport!E54</f>
        <v>0</v>
      </c>
      <c r="F10" s="478">
        <f>transport!F54</f>
        <v>0</v>
      </c>
      <c r="G10" s="478">
        <f>transport!G54</f>
        <v>381.79448032126243</v>
      </c>
      <c r="H10" s="478">
        <f>transport!H54</f>
        <v>0</v>
      </c>
      <c r="I10" s="478">
        <f>transport!I54</f>
        <v>0</v>
      </c>
      <c r="J10" s="478">
        <f>transport!J54</f>
        <v>0</v>
      </c>
      <c r="K10" s="478">
        <f>transport!K54</f>
        <v>0</v>
      </c>
      <c r="L10" s="478">
        <f>transport!L54</f>
        <v>0</v>
      </c>
      <c r="M10" s="478">
        <f>transport!M54</f>
        <v>21.68424102135112</v>
      </c>
      <c r="N10" s="478">
        <f>transport!N54</f>
        <v>0</v>
      </c>
      <c r="O10" s="478">
        <f>transport!O54</f>
        <v>0</v>
      </c>
      <c r="P10" s="479">
        <f>transport!P54</f>
        <v>0</v>
      </c>
      <c r="Q10" s="477">
        <f t="shared" si="0"/>
        <v>403.47872134261354</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555</v>
      </c>
      <c r="B14" s="488">
        <f ca="1">SUM(B4:B13)</f>
        <v>49542.568839922613</v>
      </c>
      <c r="C14" s="488">
        <f t="shared" ref="C14:Q14" ca="1" si="1">SUM(C4:C13)</f>
        <v>0</v>
      </c>
      <c r="D14" s="488">
        <f t="shared" ca="1" si="1"/>
        <v>81710.657602668318</v>
      </c>
      <c r="E14" s="488">
        <f t="shared" si="1"/>
        <v>6588.6993693409859</v>
      </c>
      <c r="F14" s="488">
        <f t="shared" ca="1" si="1"/>
        <v>41165.955886360396</v>
      </c>
      <c r="G14" s="488">
        <f t="shared" si="1"/>
        <v>35371.015339106845</v>
      </c>
      <c r="H14" s="488">
        <f t="shared" si="1"/>
        <v>7393.8930859833426</v>
      </c>
      <c r="I14" s="488">
        <f t="shared" si="1"/>
        <v>0</v>
      </c>
      <c r="J14" s="488">
        <f t="shared" si="1"/>
        <v>2683.2757388396758</v>
      </c>
      <c r="K14" s="488">
        <f t="shared" si="1"/>
        <v>0</v>
      </c>
      <c r="L14" s="488">
        <f t="shared" ca="1" si="1"/>
        <v>0</v>
      </c>
      <c r="M14" s="488">
        <f t="shared" si="1"/>
        <v>2285.4000266624516</v>
      </c>
      <c r="N14" s="488">
        <f t="shared" ca="1" si="1"/>
        <v>18940.213478237914</v>
      </c>
      <c r="O14" s="488">
        <f t="shared" si="1"/>
        <v>200.10666666666668</v>
      </c>
      <c r="P14" s="489">
        <f t="shared" si="1"/>
        <v>266.93333333333334</v>
      </c>
      <c r="Q14" s="489">
        <f t="shared" ca="1" si="1"/>
        <v>246148.71936712254</v>
      </c>
    </row>
    <row r="16" spans="1:17">
      <c r="A16" s="491" t="s">
        <v>556</v>
      </c>
      <c r="B16" s="841">
        <f ca="1">huishoudens!B10</f>
        <v>0.19172874181709948</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9" t="s">
        <v>558</v>
      </c>
      <c r="B18" s="1100" t="s">
        <v>557</v>
      </c>
      <c r="C18" s="1100"/>
      <c r="D18" s="1100"/>
      <c r="E18" s="1100"/>
      <c r="F18" s="1100"/>
      <c r="G18" s="1100"/>
      <c r="H18" s="1100"/>
      <c r="I18" s="1100"/>
      <c r="J18" s="1100"/>
      <c r="K18" s="1100"/>
      <c r="L18" s="1100"/>
      <c r="M18" s="1100"/>
      <c r="N18" s="1100"/>
      <c r="O18" s="1100"/>
      <c r="P18" s="1101"/>
      <c r="Q18" s="475"/>
    </row>
    <row r="19" spans="1:17" ht="15" customHeight="1">
      <c r="A19" s="1099"/>
      <c r="B19" s="1102" t="s">
        <v>21</v>
      </c>
      <c r="C19" s="1104" t="s">
        <v>196</v>
      </c>
      <c r="D19" s="1106" t="s">
        <v>197</v>
      </c>
      <c r="E19" s="1107"/>
      <c r="F19" s="1107"/>
      <c r="G19" s="1107"/>
      <c r="H19" s="1107"/>
      <c r="I19" s="1107"/>
      <c r="J19" s="1107"/>
      <c r="K19" s="1103"/>
      <c r="L19" s="1106" t="s">
        <v>198</v>
      </c>
      <c r="M19" s="1107"/>
      <c r="N19" s="1107"/>
      <c r="O19" s="1107"/>
      <c r="P19" s="1103"/>
      <c r="Q19" s="475"/>
    </row>
    <row r="20" spans="1:17" ht="45">
      <c r="A20" s="1099"/>
      <c r="B20" s="1103"/>
      <c r="C20" s="110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3554.4517849734561</v>
      </c>
      <c r="C21" s="478">
        <f t="shared" ref="C21:C30" ca="1" si="3">C4*$C$16</f>
        <v>0</v>
      </c>
      <c r="D21" s="478">
        <f t="shared" ref="D21:D30" si="4">D4*$D$16</f>
        <v>7584.3113605611488</v>
      </c>
      <c r="E21" s="478">
        <f t="shared" ref="E21:E30" si="5">E4*$E$16</f>
        <v>1145.0651173618626</v>
      </c>
      <c r="F21" s="478">
        <f t="shared" ref="F21:F30" si="6">F4*$F$16</f>
        <v>5110.1691538530386</v>
      </c>
      <c r="G21" s="478">
        <f t="shared" ref="G21:G30" si="7">G4*$G$16</f>
        <v>0</v>
      </c>
      <c r="H21" s="478">
        <f t="shared" ref="H21:H30" si="8">H4*$H$16</f>
        <v>0</v>
      </c>
      <c r="I21" s="478">
        <f t="shared" ref="I21:I30" si="9">I4*$I$16</f>
        <v>0</v>
      </c>
      <c r="J21" s="478">
        <f t="shared" ref="J21:J30" si="10">J4*$J$16</f>
        <v>745.18469806664621</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18139.182114816151</v>
      </c>
    </row>
    <row r="22" spans="1:17">
      <c r="A22" s="477" t="s">
        <v>156</v>
      </c>
      <c r="B22" s="478">
        <f t="shared" ca="1" si="2"/>
        <v>2680.8872915870716</v>
      </c>
      <c r="C22" s="478">
        <f t="shared" ca="1" si="3"/>
        <v>0</v>
      </c>
      <c r="D22" s="478">
        <f t="shared" ca="1" si="4"/>
        <v>2801.2377095877496</v>
      </c>
      <c r="E22" s="478">
        <f t="shared" si="5"/>
        <v>44.515303497819843</v>
      </c>
      <c r="F22" s="478">
        <f t="shared" ca="1" si="6"/>
        <v>721.91116652116841</v>
      </c>
      <c r="G22" s="478">
        <f t="shared" si="7"/>
        <v>0</v>
      </c>
      <c r="H22" s="478">
        <f t="shared" si="8"/>
        <v>0</v>
      </c>
      <c r="I22" s="478">
        <f t="shared" si="9"/>
        <v>0</v>
      </c>
      <c r="J22" s="478">
        <f t="shared" si="10"/>
        <v>2.9522972381938937E-2</v>
      </c>
      <c r="K22" s="478">
        <f t="shared" si="11"/>
        <v>0</v>
      </c>
      <c r="L22" s="478">
        <f t="shared" ca="1" si="12"/>
        <v>0</v>
      </c>
      <c r="M22" s="478">
        <f t="shared" si="13"/>
        <v>0</v>
      </c>
      <c r="N22" s="478">
        <f t="shared" ca="1" si="14"/>
        <v>0</v>
      </c>
      <c r="O22" s="478">
        <f t="shared" si="15"/>
        <v>0</v>
      </c>
      <c r="P22" s="479">
        <f t="shared" si="16"/>
        <v>0</v>
      </c>
      <c r="Q22" s="477">
        <f t="shared" ref="Q22:Q30" ca="1" si="17">SUM(B22:P22)</f>
        <v>6248.5809941661919</v>
      </c>
    </row>
    <row r="23" spans="1:17">
      <c r="A23" s="477" t="s">
        <v>194</v>
      </c>
      <c r="B23" s="478">
        <f t="shared" ca="1" si="2"/>
        <v>103.07950692061081</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103.07950692061081</v>
      </c>
    </row>
    <row r="24" spans="1:17">
      <c r="A24" s="477" t="s">
        <v>112</v>
      </c>
      <c r="B24" s="478">
        <f t="shared" ca="1" si="2"/>
        <v>720.04760536541266</v>
      </c>
      <c r="C24" s="478">
        <f t="shared" ca="1" si="3"/>
        <v>0</v>
      </c>
      <c r="D24" s="478">
        <f t="shared" si="4"/>
        <v>182.99669474255481</v>
      </c>
      <c r="E24" s="478">
        <f t="shared" si="5"/>
        <v>25.057893727754319</v>
      </c>
      <c r="F24" s="478">
        <f t="shared" si="6"/>
        <v>4177.3309317812318</v>
      </c>
      <c r="G24" s="478">
        <f t="shared" si="7"/>
        <v>0</v>
      </c>
      <c r="H24" s="478">
        <f t="shared" si="8"/>
        <v>0</v>
      </c>
      <c r="I24" s="478">
        <f t="shared" si="9"/>
        <v>0</v>
      </c>
      <c r="J24" s="478">
        <f t="shared" si="10"/>
        <v>192.61107946372636</v>
      </c>
      <c r="K24" s="478">
        <f t="shared" si="11"/>
        <v>0</v>
      </c>
      <c r="L24" s="478">
        <f t="shared" si="12"/>
        <v>0</v>
      </c>
      <c r="M24" s="478">
        <f t="shared" si="13"/>
        <v>0</v>
      </c>
      <c r="N24" s="478">
        <f t="shared" si="14"/>
        <v>0</v>
      </c>
      <c r="O24" s="478">
        <f t="shared" si="15"/>
        <v>0</v>
      </c>
      <c r="P24" s="479">
        <f t="shared" si="16"/>
        <v>0</v>
      </c>
      <c r="Q24" s="477">
        <f t="shared" ca="1" si="17"/>
        <v>5298.0442050806796</v>
      </c>
    </row>
    <row r="25" spans="1:17">
      <c r="A25" s="477" t="s">
        <v>635</v>
      </c>
      <c r="B25" s="478">
        <f t="shared" ca="1" si="2"/>
        <v>2437.0687034452726</v>
      </c>
      <c r="C25" s="478">
        <f t="shared" ca="1" si="3"/>
        <v>0</v>
      </c>
      <c r="D25" s="478">
        <f t="shared" si="4"/>
        <v>5923.672363369622</v>
      </c>
      <c r="E25" s="478">
        <f t="shared" si="5"/>
        <v>261.36046261684999</v>
      </c>
      <c r="F25" s="478">
        <f t="shared" si="6"/>
        <v>981.89896950278751</v>
      </c>
      <c r="G25" s="478">
        <f t="shared" si="7"/>
        <v>0</v>
      </c>
      <c r="H25" s="478">
        <f t="shared" si="8"/>
        <v>0</v>
      </c>
      <c r="I25" s="478">
        <f t="shared" si="9"/>
        <v>0</v>
      </c>
      <c r="J25" s="478">
        <f t="shared" si="10"/>
        <v>12.054311046490527</v>
      </c>
      <c r="K25" s="478">
        <f t="shared" si="11"/>
        <v>0</v>
      </c>
      <c r="L25" s="478">
        <f t="shared" si="12"/>
        <v>0</v>
      </c>
      <c r="M25" s="478">
        <f t="shared" si="13"/>
        <v>0</v>
      </c>
      <c r="N25" s="478">
        <f t="shared" si="14"/>
        <v>0</v>
      </c>
      <c r="O25" s="478">
        <f t="shared" si="15"/>
        <v>0</v>
      </c>
      <c r="P25" s="479">
        <f t="shared" si="16"/>
        <v>0</v>
      </c>
      <c r="Q25" s="477">
        <f t="shared" ca="1" si="17"/>
        <v>9616.0548099810239</v>
      </c>
    </row>
    <row r="26" spans="1:17" s="483" customFormat="1">
      <c r="A26" s="481" t="s">
        <v>561</v>
      </c>
      <c r="B26" s="835">
        <f t="shared" ca="1" si="2"/>
        <v>3.1994977735774786</v>
      </c>
      <c r="C26" s="482">
        <f t="shared" ca="1" si="3"/>
        <v>0</v>
      </c>
      <c r="D26" s="482">
        <f t="shared" si="4"/>
        <v>13.334707477923804</v>
      </c>
      <c r="E26" s="482">
        <f t="shared" si="5"/>
        <v>19.635979636117106</v>
      </c>
      <c r="F26" s="482">
        <f t="shared" si="6"/>
        <v>0</v>
      </c>
      <c r="G26" s="482">
        <f t="shared" si="7"/>
        <v>9342.1219692957511</v>
      </c>
      <c r="H26" s="482">
        <f t="shared" si="8"/>
        <v>1841.0793784098523</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11219.371532593221</v>
      </c>
    </row>
    <row r="27" spans="1:17">
      <c r="A27" s="477" t="s">
        <v>551</v>
      </c>
      <c r="B27" s="478">
        <f t="shared" ca="1" si="2"/>
        <v>0</v>
      </c>
      <c r="C27" s="478">
        <f t="shared" ca="1" si="3"/>
        <v>0</v>
      </c>
      <c r="D27" s="478">
        <f t="shared" si="4"/>
        <v>0</v>
      </c>
      <c r="E27" s="478">
        <f t="shared" si="5"/>
        <v>0</v>
      </c>
      <c r="F27" s="478">
        <f t="shared" si="6"/>
        <v>0</v>
      </c>
      <c r="G27" s="478">
        <f t="shared" si="7"/>
        <v>101.93912624577708</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101.93912624577708</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554</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555</v>
      </c>
      <c r="B31" s="488">
        <f t="shared" ref="B31:Q31" ca="1" si="18">SUM(B21:B30)</f>
        <v>9498.7343900654014</v>
      </c>
      <c r="C31" s="488">
        <f t="shared" ca="1" si="18"/>
        <v>0</v>
      </c>
      <c r="D31" s="488">
        <f t="shared" ca="1" si="18"/>
        <v>16505.552835738999</v>
      </c>
      <c r="E31" s="488">
        <f t="shared" si="18"/>
        <v>1495.634756840404</v>
      </c>
      <c r="F31" s="488">
        <f t="shared" ca="1" si="18"/>
        <v>10991.310221658225</v>
      </c>
      <c r="G31" s="488">
        <f t="shared" si="18"/>
        <v>9444.0610955415286</v>
      </c>
      <c r="H31" s="488">
        <f t="shared" si="18"/>
        <v>1841.0793784098523</v>
      </c>
      <c r="I31" s="488">
        <f t="shared" si="18"/>
        <v>0</v>
      </c>
      <c r="J31" s="488">
        <f t="shared" si="18"/>
        <v>949.87961154924506</v>
      </c>
      <c r="K31" s="488">
        <f t="shared" si="18"/>
        <v>0</v>
      </c>
      <c r="L31" s="488">
        <f t="shared" ca="1" si="18"/>
        <v>0</v>
      </c>
      <c r="M31" s="488">
        <f t="shared" si="18"/>
        <v>0</v>
      </c>
      <c r="N31" s="488">
        <f t="shared" ca="1" si="18"/>
        <v>0</v>
      </c>
      <c r="O31" s="488">
        <f t="shared" si="18"/>
        <v>0</v>
      </c>
      <c r="P31" s="489">
        <f t="shared" si="18"/>
        <v>0</v>
      </c>
      <c r="Q31" s="489">
        <f t="shared" ca="1" si="18"/>
        <v>50726.252289803655</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0.19172874181709948</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1</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19.066666666666666</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14"/>
      <c r="P13" s="1114"/>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0.19172874181709948</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9" t="s">
        <v>328</v>
      </c>
      <c r="B1" s="1108" t="s">
        <v>195</v>
      </c>
      <c r="C1" s="1109"/>
      <c r="D1" s="1109"/>
      <c r="E1" s="1109"/>
      <c r="F1" s="1109"/>
      <c r="G1" s="1109"/>
      <c r="H1" s="1109"/>
      <c r="I1" s="1109"/>
      <c r="J1" s="1109"/>
      <c r="K1" s="1109"/>
      <c r="L1" s="1109"/>
      <c r="M1" s="1109"/>
      <c r="N1" s="1109"/>
      <c r="O1" s="1109"/>
      <c r="P1" s="1109"/>
    </row>
    <row r="2" spans="1:16" ht="15" customHeight="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0.19172874181709948</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15"/>
      <c r="K10" s="58"/>
    </row>
    <row r="11" spans="1:11" s="43" customFormat="1">
      <c r="A11" s="44" t="s">
        <v>565</v>
      </c>
      <c r="B11" s="47"/>
      <c r="D11" s="142" t="s">
        <v>392</v>
      </c>
      <c r="I11" s="1115"/>
      <c r="K11" s="58"/>
    </row>
    <row r="12" spans="1:11" s="43" customFormat="1">
      <c r="A12" s="44" t="s">
        <v>566</v>
      </c>
      <c r="B12" s="47"/>
      <c r="D12" s="142" t="s">
        <v>392</v>
      </c>
      <c r="I12" s="1115"/>
      <c r="K12" s="58"/>
    </row>
    <row r="13" spans="1:11" s="43" customFormat="1">
      <c r="A13" s="44"/>
      <c r="B13" s="478"/>
      <c r="D13" s="96"/>
      <c r="I13" s="1115"/>
    </row>
    <row r="14" spans="1:11" s="43" customFormat="1">
      <c r="A14" s="304" t="s">
        <v>563</v>
      </c>
      <c r="B14" s="531"/>
      <c r="C14" s="141" t="s">
        <v>182</v>
      </c>
      <c r="D14" s="144" t="s">
        <v>391</v>
      </c>
      <c r="I14" s="1115"/>
    </row>
    <row r="15" spans="1:11" s="43" customFormat="1">
      <c r="A15" s="44" t="s">
        <v>71</v>
      </c>
      <c r="B15" s="47"/>
      <c r="D15" s="142" t="s">
        <v>392</v>
      </c>
      <c r="I15" s="1115"/>
      <c r="J15" s="1115"/>
    </row>
    <row r="16" spans="1:11" s="43" customFormat="1">
      <c r="A16" s="44" t="s">
        <v>527</v>
      </c>
      <c r="B16" s="47"/>
      <c r="D16" s="142" t="s">
        <v>392</v>
      </c>
      <c r="I16" s="1115"/>
      <c r="J16" s="1115"/>
    </row>
    <row r="17" spans="1:11" s="43" customFormat="1">
      <c r="A17" s="44" t="s">
        <v>78</v>
      </c>
      <c r="B17" s="47"/>
      <c r="D17" s="142" t="s">
        <v>392</v>
      </c>
      <c r="I17" s="1115"/>
      <c r="J17" s="1115"/>
    </row>
    <row r="18" spans="1:11" s="43" customFormat="1">
      <c r="A18" s="44" t="s">
        <v>528</v>
      </c>
      <c r="B18" s="47"/>
      <c r="D18" s="142" t="s">
        <v>392</v>
      </c>
      <c r="I18" s="1115"/>
      <c r="J18" s="1115"/>
      <c r="K18" s="58"/>
    </row>
    <row r="19" spans="1:11" s="43" customFormat="1">
      <c r="A19" s="44" t="s">
        <v>77</v>
      </c>
      <c r="B19" s="47"/>
      <c r="D19" s="142" t="s">
        <v>392</v>
      </c>
      <c r="I19" s="1115"/>
      <c r="J19" s="1116"/>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15"/>
      <c r="J35" s="1115"/>
    </row>
    <row r="36" spans="1:11" s="43" customFormat="1">
      <c r="A36" s="466" t="s">
        <v>527</v>
      </c>
      <c r="B36" s="47"/>
      <c r="D36" s="142" t="s">
        <v>392</v>
      </c>
      <c r="I36" s="1115"/>
      <c r="J36" s="1115"/>
    </row>
    <row r="37" spans="1:11" s="43" customFormat="1">
      <c r="A37" s="466" t="s">
        <v>78</v>
      </c>
      <c r="B37" s="47"/>
      <c r="D37" s="142" t="s">
        <v>392</v>
      </c>
      <c r="I37" s="1115"/>
      <c r="J37" s="1115"/>
    </row>
    <row r="38" spans="1:11" s="43" customFormat="1">
      <c r="A38" s="466" t="s">
        <v>528</v>
      </c>
      <c r="B38" s="47"/>
      <c r="D38" s="142" t="s">
        <v>392</v>
      </c>
      <c r="I38" s="1115"/>
      <c r="J38" s="1115"/>
      <c r="K38" s="58"/>
    </row>
    <row r="39" spans="1:11" s="43" customFormat="1">
      <c r="A39" s="466" t="s">
        <v>77</v>
      </c>
      <c r="B39" s="47"/>
      <c r="D39" s="142" t="s">
        <v>392</v>
      </c>
      <c r="I39" s="1115"/>
      <c r="J39" s="1116"/>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37007</v>
      </c>
      <c r="B1" s="332"/>
      <c r="C1" s="332"/>
      <c r="D1" s="332"/>
      <c r="E1" s="332"/>
      <c r="F1" s="333"/>
    </row>
    <row r="3" spans="1:6" ht="19.5">
      <c r="A3" s="335" t="s">
        <v>0</v>
      </c>
    </row>
    <row r="4" spans="1:6" ht="22.5">
      <c r="A4" s="1211" t="s">
        <v>801</v>
      </c>
    </row>
    <row r="5" spans="1:6" ht="22.5">
      <c r="A5" s="1211" t="s">
        <v>802</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4608</v>
      </c>
      <c r="C9" s="342">
        <v>4782</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1929.35</v>
      </c>
    </row>
    <row r="15" spans="1:6">
      <c r="A15" s="348" t="s">
        <v>184</v>
      </c>
      <c r="B15" s="334">
        <v>15</v>
      </c>
    </row>
    <row r="16" spans="1:6">
      <c r="A16" s="348" t="s">
        <v>6</v>
      </c>
      <c r="B16" s="334">
        <v>341</v>
      </c>
    </row>
    <row r="17" spans="1:6">
      <c r="A17" s="348" t="s">
        <v>7</v>
      </c>
      <c r="B17" s="334">
        <v>878</v>
      </c>
    </row>
    <row r="18" spans="1:6">
      <c r="A18" s="348" t="s">
        <v>8</v>
      </c>
      <c r="B18" s="334">
        <v>861</v>
      </c>
    </row>
    <row r="19" spans="1:6">
      <c r="A19" s="348" t="s">
        <v>9</v>
      </c>
      <c r="B19" s="334">
        <v>822</v>
      </c>
    </row>
    <row r="20" spans="1:6">
      <c r="A20" s="348" t="s">
        <v>10</v>
      </c>
      <c r="B20" s="334">
        <v>568</v>
      </c>
    </row>
    <row r="21" spans="1:6">
      <c r="A21" s="348" t="s">
        <v>11</v>
      </c>
      <c r="B21" s="334">
        <v>9214</v>
      </c>
    </row>
    <row r="22" spans="1:6">
      <c r="A22" s="348" t="s">
        <v>12</v>
      </c>
      <c r="B22" s="334">
        <v>38535</v>
      </c>
    </row>
    <row r="23" spans="1:6">
      <c r="A23" s="348" t="s">
        <v>13</v>
      </c>
      <c r="B23" s="334">
        <v>350</v>
      </c>
    </row>
    <row r="24" spans="1:6">
      <c r="A24" s="348" t="s">
        <v>14</v>
      </c>
      <c r="B24" s="334">
        <v>11</v>
      </c>
    </row>
    <row r="25" spans="1:6">
      <c r="A25" s="348" t="s">
        <v>15</v>
      </c>
      <c r="B25" s="334">
        <v>1971</v>
      </c>
    </row>
    <row r="26" spans="1:6">
      <c r="A26" s="348" t="s">
        <v>16</v>
      </c>
      <c r="B26" s="334">
        <v>49</v>
      </c>
    </row>
    <row r="27" spans="1:6">
      <c r="A27" s="348" t="s">
        <v>17</v>
      </c>
      <c r="B27" s="334">
        <v>6</v>
      </c>
    </row>
    <row r="28" spans="1:6" s="356" customFormat="1">
      <c r="A28" s="355" t="s">
        <v>18</v>
      </c>
      <c r="B28" s="355">
        <v>119997</v>
      </c>
    </row>
    <row r="29" spans="1:6">
      <c r="A29" s="355" t="s">
        <v>744</v>
      </c>
      <c r="B29" s="355">
        <v>43</v>
      </c>
      <c r="C29" s="356"/>
      <c r="D29" s="356"/>
      <c r="E29" s="356"/>
      <c r="F29" s="356"/>
    </row>
    <row r="30" spans="1:6">
      <c r="A30" s="341" t="s">
        <v>745</v>
      </c>
      <c r="B30" s="341">
        <v>12</v>
      </c>
      <c r="C30" s="342"/>
      <c r="D30" s="342"/>
      <c r="E30" s="342"/>
      <c r="F30" s="342"/>
    </row>
    <row r="31" spans="1:6" ht="15.75" thickBot="1">
      <c r="A31" s="343"/>
    </row>
    <row r="32" spans="1:6" ht="20.25" thickBot="1">
      <c r="A32" s="336" t="s">
        <v>19</v>
      </c>
      <c r="B32" s="337" t="s">
        <v>394</v>
      </c>
      <c r="C32" s="337" t="s">
        <v>803</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1</v>
      </c>
      <c r="D38" s="334">
        <v>0</v>
      </c>
      <c r="E38" s="334">
        <v>1</v>
      </c>
      <c r="F38" s="334">
        <v>11846912.999553099</v>
      </c>
    </row>
    <row r="39" spans="1:6">
      <c r="A39" s="348" t="s">
        <v>30</v>
      </c>
      <c r="B39" s="348" t="s">
        <v>31</v>
      </c>
      <c r="C39" s="334">
        <v>2731</v>
      </c>
      <c r="D39" s="334">
        <v>41625383.419470198</v>
      </c>
      <c r="E39" s="334">
        <v>4189</v>
      </c>
      <c r="F39" s="334">
        <v>15490750.5880206</v>
      </c>
    </row>
    <row r="40" spans="1:6">
      <c r="A40" s="348" t="s">
        <v>30</v>
      </c>
      <c r="B40" s="348" t="s">
        <v>29</v>
      </c>
      <c r="C40" s="334">
        <v>0</v>
      </c>
      <c r="D40" s="334">
        <v>0</v>
      </c>
      <c r="E40" s="334">
        <v>0</v>
      </c>
      <c r="F40" s="334">
        <v>0</v>
      </c>
    </row>
    <row r="41" spans="1:6">
      <c r="A41" s="348" t="s">
        <v>32</v>
      </c>
      <c r="B41" s="348" t="s">
        <v>33</v>
      </c>
      <c r="C41" s="334">
        <v>66</v>
      </c>
      <c r="D41" s="334">
        <v>1468538.6452045001</v>
      </c>
      <c r="E41" s="334">
        <v>176</v>
      </c>
      <c r="F41" s="334">
        <v>2130203.7181106098</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14</v>
      </c>
      <c r="F44" s="334">
        <v>149168.870100075</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3</v>
      </c>
      <c r="D47" s="334">
        <v>37067.405010105198</v>
      </c>
      <c r="E47" s="334">
        <v>6</v>
      </c>
      <c r="F47" s="334">
        <v>30305.975515573002</v>
      </c>
    </row>
    <row r="48" spans="1:6">
      <c r="A48" s="348" t="s">
        <v>32</v>
      </c>
      <c r="B48" s="348" t="s">
        <v>29</v>
      </c>
      <c r="C48" s="334">
        <v>40</v>
      </c>
      <c r="D48" s="334">
        <v>30404331.040787</v>
      </c>
      <c r="E48" s="334">
        <v>46</v>
      </c>
      <c r="F48" s="334">
        <v>9510396.6096503492</v>
      </c>
    </row>
    <row r="49" spans="1:6">
      <c r="A49" s="348" t="s">
        <v>32</v>
      </c>
      <c r="B49" s="348" t="s">
        <v>40</v>
      </c>
      <c r="C49" s="334">
        <v>0</v>
      </c>
      <c r="D49" s="334">
        <v>0</v>
      </c>
      <c r="E49" s="334">
        <v>7</v>
      </c>
      <c r="F49" s="334">
        <v>284271.92419262102</v>
      </c>
    </row>
    <row r="50" spans="1:6">
      <c r="A50" s="348" t="s">
        <v>32</v>
      </c>
      <c r="B50" s="348" t="s">
        <v>41</v>
      </c>
      <c r="C50" s="334">
        <v>10</v>
      </c>
      <c r="D50" s="334">
        <v>601272.12158221204</v>
      </c>
      <c r="E50" s="334">
        <v>19</v>
      </c>
      <c r="F50" s="334">
        <v>606677.23998223501</v>
      </c>
    </row>
    <row r="51" spans="1:6">
      <c r="A51" s="348" t="s">
        <v>42</v>
      </c>
      <c r="B51" s="348" t="s">
        <v>43</v>
      </c>
      <c r="C51" s="334">
        <v>7</v>
      </c>
      <c r="D51" s="334">
        <v>138339.115706593</v>
      </c>
      <c r="E51" s="334">
        <v>142</v>
      </c>
      <c r="F51" s="334">
        <v>3607704.2950748201</v>
      </c>
    </row>
    <row r="52" spans="1:6">
      <c r="A52" s="348" t="s">
        <v>42</v>
      </c>
      <c r="B52" s="348" t="s">
        <v>29</v>
      </c>
      <c r="C52" s="334">
        <v>1</v>
      </c>
      <c r="D52" s="334">
        <v>262.35799070119998</v>
      </c>
      <c r="E52" s="334">
        <v>4</v>
      </c>
      <c r="F52" s="334">
        <v>147849.50735040699</v>
      </c>
    </row>
    <row r="53" spans="1:6">
      <c r="A53" s="348" t="s">
        <v>44</v>
      </c>
      <c r="B53" s="348" t="s">
        <v>45</v>
      </c>
      <c r="C53" s="334">
        <v>60</v>
      </c>
      <c r="D53" s="334">
        <v>865749.11543661496</v>
      </c>
      <c r="E53" s="334">
        <v>128</v>
      </c>
      <c r="F53" s="334">
        <v>432295.47299843701</v>
      </c>
    </row>
    <row r="54" spans="1:6">
      <c r="A54" s="348" t="s">
        <v>46</v>
      </c>
      <c r="B54" s="348" t="s">
        <v>47</v>
      </c>
      <c r="C54" s="334">
        <v>0</v>
      </c>
      <c r="D54" s="334">
        <v>0</v>
      </c>
      <c r="E54" s="334">
        <v>1</v>
      </c>
      <c r="F54" s="334">
        <v>537632</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19</v>
      </c>
      <c r="D57" s="334">
        <v>370353.14890742197</v>
      </c>
      <c r="E57" s="334">
        <v>67</v>
      </c>
      <c r="F57" s="334">
        <v>3438487.4319422399</v>
      </c>
    </row>
    <row r="58" spans="1:6">
      <c r="A58" s="348" t="s">
        <v>49</v>
      </c>
      <c r="B58" s="348" t="s">
        <v>51</v>
      </c>
      <c r="C58" s="334">
        <v>12</v>
      </c>
      <c r="D58" s="334">
        <v>321010.68070673803</v>
      </c>
      <c r="E58" s="334">
        <v>23</v>
      </c>
      <c r="F58" s="334">
        <v>176797.00541141501</v>
      </c>
    </row>
    <row r="59" spans="1:6">
      <c r="A59" s="348" t="s">
        <v>49</v>
      </c>
      <c r="B59" s="348" t="s">
        <v>52</v>
      </c>
      <c r="C59" s="334">
        <v>57</v>
      </c>
      <c r="D59" s="334">
        <v>1678621.18751984</v>
      </c>
      <c r="E59" s="334">
        <v>149</v>
      </c>
      <c r="F59" s="334">
        <v>3666704.1556061199</v>
      </c>
    </row>
    <row r="60" spans="1:6">
      <c r="A60" s="348" t="s">
        <v>49</v>
      </c>
      <c r="B60" s="348" t="s">
        <v>53</v>
      </c>
      <c r="C60" s="334">
        <v>28</v>
      </c>
      <c r="D60" s="334">
        <v>878106.87648582901</v>
      </c>
      <c r="E60" s="334">
        <v>52</v>
      </c>
      <c r="F60" s="334">
        <v>856356.44598816405</v>
      </c>
    </row>
    <row r="61" spans="1:6">
      <c r="A61" s="348" t="s">
        <v>49</v>
      </c>
      <c r="B61" s="348" t="s">
        <v>54</v>
      </c>
      <c r="C61" s="334">
        <v>58</v>
      </c>
      <c r="D61" s="334">
        <v>5453402.5240430897</v>
      </c>
      <c r="E61" s="334">
        <v>164</v>
      </c>
      <c r="F61" s="334">
        <v>2107136.7478172602</v>
      </c>
    </row>
    <row r="62" spans="1:6">
      <c r="A62" s="348" t="s">
        <v>49</v>
      </c>
      <c r="B62" s="348" t="s">
        <v>55</v>
      </c>
      <c r="C62" s="334">
        <v>7</v>
      </c>
      <c r="D62" s="334">
        <v>655576.54227961495</v>
      </c>
      <c r="E62" s="334">
        <v>9</v>
      </c>
      <c r="F62" s="334">
        <v>118787.819173768</v>
      </c>
    </row>
    <row r="63" spans="1:6">
      <c r="A63" s="348" t="s">
        <v>49</v>
      </c>
      <c r="B63" s="348" t="s">
        <v>29</v>
      </c>
      <c r="C63" s="334">
        <v>90</v>
      </c>
      <c r="D63" s="334">
        <v>6017112.4256458702</v>
      </c>
      <c r="E63" s="334">
        <v>78</v>
      </c>
      <c r="F63" s="334">
        <v>3618439.85211671</v>
      </c>
    </row>
    <row r="64" spans="1:6">
      <c r="A64" s="348" t="s">
        <v>56</v>
      </c>
      <c r="B64" s="348" t="s">
        <v>57</v>
      </c>
      <c r="C64" s="334">
        <v>0</v>
      </c>
      <c r="D64" s="334">
        <v>0</v>
      </c>
      <c r="E64" s="334">
        <v>0</v>
      </c>
      <c r="F64" s="334">
        <v>0</v>
      </c>
    </row>
    <row r="65" spans="1:6">
      <c r="A65" s="348" t="s">
        <v>56</v>
      </c>
      <c r="B65" s="348" t="s">
        <v>29</v>
      </c>
      <c r="C65" s="334">
        <v>0</v>
      </c>
      <c r="D65" s="334">
        <v>0</v>
      </c>
      <c r="E65" s="334">
        <v>3</v>
      </c>
      <c r="F65" s="334">
        <v>11289.357782905799</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6</v>
      </c>
      <c r="D68" s="334">
        <v>152450.55521735799</v>
      </c>
      <c r="E68" s="334">
        <v>15</v>
      </c>
      <c r="F68" s="334">
        <v>162726.10306596101</v>
      </c>
    </row>
    <row r="69" spans="1:6" ht="15.75" thickBot="1">
      <c r="A69" s="343"/>
    </row>
    <row r="70" spans="1:6" ht="19.5">
      <c r="A70" s="336" t="s">
        <v>61</v>
      </c>
      <c r="B70" s="337"/>
      <c r="C70" s="337" t="s">
        <v>404</v>
      </c>
      <c r="D70" s="337" t="s">
        <v>804</v>
      </c>
      <c r="E70" s="337"/>
      <c r="F70" s="344"/>
    </row>
    <row r="71" spans="1:6" ht="20.25" thickBot="1">
      <c r="A71" s="357"/>
      <c r="B71" s="358"/>
      <c r="C71" s="358"/>
      <c r="D71" s="359" t="s">
        <v>442</v>
      </c>
      <c r="E71" s="358"/>
      <c r="F71" s="360"/>
    </row>
    <row r="72" spans="1:6" ht="16.5" thickTop="1" thickBot="1">
      <c r="A72" s="345" t="s">
        <v>62</v>
      </c>
      <c r="B72" s="346" t="s">
        <v>63</v>
      </c>
      <c r="C72" s="1212" t="s">
        <v>674</v>
      </c>
      <c r="D72" s="361">
        <v>2016</v>
      </c>
      <c r="E72" s="361">
        <v>2020</v>
      </c>
      <c r="F72" s="347"/>
    </row>
    <row r="73" spans="1:6">
      <c r="A73" s="348" t="s">
        <v>64</v>
      </c>
      <c r="B73" s="348" t="s">
        <v>656</v>
      </c>
      <c r="C73" s="1213" t="s">
        <v>658</v>
      </c>
      <c r="D73" s="476">
        <v>25033669</v>
      </c>
      <c r="E73" s="476">
        <v>21198987.585584331</v>
      </c>
    </row>
    <row r="74" spans="1:6">
      <c r="A74" s="348" t="s">
        <v>64</v>
      </c>
      <c r="B74" s="348" t="s">
        <v>657</v>
      </c>
      <c r="C74" s="1213" t="s">
        <v>659</v>
      </c>
      <c r="D74" s="476">
        <v>2859675.9137653005</v>
      </c>
      <c r="E74" s="476">
        <v>2415558.6118514398</v>
      </c>
    </row>
    <row r="75" spans="1:6">
      <c r="A75" s="348" t="s">
        <v>65</v>
      </c>
      <c r="B75" s="348" t="s">
        <v>656</v>
      </c>
      <c r="C75" s="1213" t="s">
        <v>660</v>
      </c>
      <c r="D75" s="476">
        <v>17384955</v>
      </c>
      <c r="E75" s="476">
        <v>14768743.286150454</v>
      </c>
    </row>
    <row r="76" spans="1:6">
      <c r="A76" s="348" t="s">
        <v>65</v>
      </c>
      <c r="B76" s="348" t="s">
        <v>657</v>
      </c>
      <c r="C76" s="1213" t="s">
        <v>661</v>
      </c>
      <c r="D76" s="476">
        <v>1789757.9137653005</v>
      </c>
      <c r="E76" s="476">
        <v>1555160.1359437404</v>
      </c>
    </row>
    <row r="77" spans="1:6">
      <c r="A77" s="348" t="s">
        <v>66</v>
      </c>
      <c r="B77" s="348" t="s">
        <v>656</v>
      </c>
      <c r="C77" s="1213" t="s">
        <v>662</v>
      </c>
      <c r="D77" s="476">
        <v>0</v>
      </c>
      <c r="E77" s="476">
        <v>0</v>
      </c>
    </row>
    <row r="78" spans="1:6">
      <c r="A78" s="341" t="s">
        <v>66</v>
      </c>
      <c r="B78" s="341" t="s">
        <v>657</v>
      </c>
      <c r="C78" s="341" t="s">
        <v>663</v>
      </c>
      <c r="D78" s="1214">
        <v>0</v>
      </c>
      <c r="E78" s="1214">
        <v>0</v>
      </c>
      <c r="F78" s="342"/>
    </row>
    <row r="79" spans="1:6">
      <c r="A79" s="362"/>
      <c r="B79" s="362"/>
    </row>
    <row r="80" spans="1:6" ht="15.75" thickBot="1">
      <c r="A80" s="362"/>
      <c r="B80" s="362"/>
    </row>
    <row r="81" spans="1:6" ht="20.25" thickBot="1">
      <c r="A81" s="336" t="s">
        <v>334</v>
      </c>
      <c r="B81" s="363" t="s">
        <v>394</v>
      </c>
      <c r="C81" s="337" t="s">
        <v>805</v>
      </c>
      <c r="D81" s="337"/>
      <c r="E81" s="337"/>
      <c r="F81" s="344"/>
    </row>
    <row r="82" spans="1:6" ht="16.5" thickTop="1" thickBot="1">
      <c r="A82" s="345" t="s">
        <v>335</v>
      </c>
      <c r="B82" s="361">
        <v>2016</v>
      </c>
      <c r="C82" s="361">
        <v>2020</v>
      </c>
      <c r="D82" s="346"/>
      <c r="E82" s="346"/>
      <c r="F82" s="347"/>
    </row>
    <row r="83" spans="1:6">
      <c r="A83" s="348" t="s">
        <v>336</v>
      </c>
      <c r="B83" s="476">
        <v>109430.17246939875</v>
      </c>
      <c r="C83" s="476">
        <v>109338.58690011784</v>
      </c>
    </row>
    <row r="84" spans="1:6">
      <c r="A84" s="341" t="s">
        <v>337</v>
      </c>
      <c r="B84" s="1214">
        <v>0</v>
      </c>
      <c r="C84" s="1214">
        <v>0</v>
      </c>
      <c r="D84" s="342"/>
      <c r="E84" s="342"/>
      <c r="F84" s="342"/>
    </row>
    <row r="85" spans="1:6">
      <c r="A85" s="362"/>
      <c r="B85" s="364"/>
    </row>
    <row r="86" spans="1:6" ht="15.75" thickBot="1">
      <c r="A86" s="343"/>
    </row>
    <row r="87" spans="1:6" ht="20.25" thickBot="1">
      <c r="A87" s="336" t="s">
        <v>67</v>
      </c>
      <c r="B87" s="337" t="s">
        <v>394</v>
      </c>
      <c r="C87" s="337" t="s">
        <v>806</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15">
        <v>0</v>
      </c>
    </row>
    <row r="91" spans="1:6">
      <c r="A91" s="348" t="s">
        <v>68</v>
      </c>
      <c r="B91" s="334">
        <v>3048.2110266351806</v>
      </c>
    </row>
    <row r="92" spans="1:6">
      <c r="A92" s="341" t="s">
        <v>69</v>
      </c>
      <c r="B92" s="342">
        <v>3513.6592157064342</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1778</v>
      </c>
    </row>
    <row r="98" spans="1:6">
      <c r="A98" s="348" t="s">
        <v>72</v>
      </c>
      <c r="B98" s="334">
        <v>0</v>
      </c>
    </row>
    <row r="99" spans="1:6">
      <c r="A99" s="348" t="s">
        <v>73</v>
      </c>
      <c r="B99" s="334">
        <v>118</v>
      </c>
    </row>
    <row r="100" spans="1:6">
      <c r="A100" s="348" t="s">
        <v>74</v>
      </c>
      <c r="B100" s="334">
        <v>322</v>
      </c>
    </row>
    <row r="101" spans="1:6">
      <c r="A101" s="348" t="s">
        <v>75</v>
      </c>
      <c r="B101" s="334">
        <v>87</v>
      </c>
    </row>
    <row r="102" spans="1:6">
      <c r="A102" s="348" t="s">
        <v>76</v>
      </c>
      <c r="B102" s="334">
        <v>79</v>
      </c>
    </row>
    <row r="103" spans="1:6">
      <c r="A103" s="348" t="s">
        <v>77</v>
      </c>
      <c r="B103" s="334">
        <v>155</v>
      </c>
    </row>
    <row r="104" spans="1:6">
      <c r="A104" s="348" t="s">
        <v>78</v>
      </c>
      <c r="B104" s="334">
        <v>1597</v>
      </c>
    </row>
    <row r="105" spans="1:6">
      <c r="A105" s="341" t="s">
        <v>79</v>
      </c>
      <c r="B105" s="341">
        <v>0</v>
      </c>
      <c r="C105" s="342"/>
      <c r="D105" s="342"/>
      <c r="E105" s="342"/>
      <c r="F105" s="342"/>
    </row>
    <row r="106" spans="1:6">
      <c r="A106" s="343"/>
    </row>
    <row r="107" spans="1:6" ht="15.75" thickBot="1">
      <c r="A107" s="343"/>
    </row>
    <row r="108" spans="1:6" ht="20.25" thickBot="1">
      <c r="A108" s="336" t="s">
        <v>645</v>
      </c>
      <c r="B108" s="337" t="s">
        <v>394</v>
      </c>
      <c r="C108" s="337" t="s">
        <v>807</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16" t="s">
        <v>647</v>
      </c>
      <c r="B111" s="1217">
        <v>1</v>
      </c>
      <c r="C111" s="1217"/>
      <c r="D111" s="1217"/>
      <c r="E111" s="1217"/>
      <c r="F111" s="1217"/>
    </row>
    <row r="112" spans="1:6">
      <c r="A112" s="348"/>
    </row>
    <row r="113" spans="1:6" ht="15.75" thickBot="1">
      <c r="A113" s="341"/>
      <c r="B113" s="342"/>
      <c r="C113" s="342"/>
      <c r="D113" s="342"/>
      <c r="E113" s="342"/>
      <c r="F113" s="342"/>
    </row>
    <row r="114" spans="1:6" ht="20.25" thickBot="1">
      <c r="A114" s="336" t="s">
        <v>80</v>
      </c>
      <c r="B114" s="337" t="s">
        <v>394</v>
      </c>
      <c r="C114" s="337" t="s">
        <v>808</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6</v>
      </c>
      <c r="C123" s="334">
        <v>21</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807</v>
      </c>
      <c r="D127" s="337"/>
      <c r="E127" s="337"/>
      <c r="F127" s="344"/>
    </row>
    <row r="128" spans="1:6" ht="16.5" thickTop="1" thickBot="1">
      <c r="A128" s="345" t="s">
        <v>4</v>
      </c>
      <c r="B128" s="346" t="s">
        <v>5</v>
      </c>
      <c r="C128" s="346"/>
      <c r="D128" s="346"/>
      <c r="E128" s="346"/>
      <c r="F128" s="347"/>
    </row>
    <row r="129" spans="1:6">
      <c r="A129" s="348" t="s">
        <v>294</v>
      </c>
      <c r="B129" s="334">
        <v>107</v>
      </c>
    </row>
    <row r="130" spans="1:6">
      <c r="A130" s="348" t="s">
        <v>295</v>
      </c>
      <c r="B130" s="334">
        <v>0</v>
      </c>
    </row>
    <row r="131" spans="1:6">
      <c r="A131" s="348" t="s">
        <v>296</v>
      </c>
      <c r="B131" s="334">
        <v>0</v>
      </c>
    </row>
    <row r="132" spans="1:6">
      <c r="A132" s="341" t="s">
        <v>297</v>
      </c>
      <c r="B132" s="342">
        <v>8</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49542.568839922606</v>
      </c>
      <c r="C3" s="43" t="s">
        <v>170</v>
      </c>
      <c r="D3" s="43"/>
      <c r="E3" s="154"/>
      <c r="F3" s="43"/>
      <c r="G3" s="43"/>
      <c r="H3" s="43"/>
      <c r="I3" s="43"/>
      <c r="J3" s="43"/>
      <c r="K3" s="96"/>
    </row>
    <row r="4" spans="1:11">
      <c r="A4" s="383" t="s">
        <v>171</v>
      </c>
      <c r="B4" s="49">
        <f>IF(ISERROR('SEAP template'!B69),0,'SEAP template'!B69)</f>
        <v>6561.8702423416144</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0.19172874181709948</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7">
        <v>2016</v>
      </c>
      <c r="B1" s="111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9"/>
      <c r="B2" s="112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9"/>
      <c r="B3" s="112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1"/>
      <c r="B4" s="112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3" t="s">
        <v>471</v>
      </c>
      <c r="B2" s="1124"/>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5" t="s">
        <v>194</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537.63199999999995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537.63199999999995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0.19172874181709948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103.07950692061081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8" activePane="bottomRight" state="frozen"/>
      <selection activeCell="B35" sqref="B35"/>
      <selection pane="topRight" activeCell="B35" sqref="B35"/>
      <selection pane="bottomLeft" activeCell="B35" sqref="B35"/>
      <selection pane="bottomRight" activeCell="A32" sqref="A3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5" t="s">
        <v>155</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15490.750588020601</v>
      </c>
      <c r="C5" s="17">
        <f>IF(ISERROR('Eigen informatie GS &amp; warmtenet'!B57),0,'Eigen informatie GS &amp; warmtenet'!B57)</f>
        <v>0</v>
      </c>
      <c r="D5" s="30">
        <f>(SUM(HH_hh_gas_kWh,HH_rest_gas_kWh)/1000)*0.902</f>
        <v>37546.09584436212</v>
      </c>
      <c r="E5" s="17">
        <f>B46*B57</f>
        <v>5044.3397240610684</v>
      </c>
      <c r="F5" s="17">
        <f>B51*B62</f>
        <v>19139.210314056323</v>
      </c>
      <c r="G5" s="18"/>
      <c r="H5" s="17"/>
      <c r="I5" s="17"/>
      <c r="J5" s="17">
        <f>B50*B61+C50*C61</f>
        <v>2105.0415199622776</v>
      </c>
      <c r="K5" s="17"/>
      <c r="L5" s="17"/>
      <c r="M5" s="17"/>
      <c r="N5" s="17">
        <f>B48*B59+C48*C59</f>
        <v>12674.59937909104</v>
      </c>
      <c r="O5" s="17">
        <f>B69*B70*B71</f>
        <v>200.10666666666668</v>
      </c>
      <c r="P5" s="17">
        <f>B77*B78*B79/1000-B77*B78*B79/1000/B80</f>
        <v>266.93333333333334</v>
      </c>
    </row>
    <row r="6" spans="1:16">
      <c r="A6" s="16" t="s">
        <v>621</v>
      </c>
      <c r="B6" s="843">
        <f>kWh_PV_kleiner_dan_10kW</f>
        <v>3048.2110266351806</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18538.961614655782</v>
      </c>
      <c r="C8" s="21">
        <f>C5</f>
        <v>0</v>
      </c>
      <c r="D8" s="21">
        <f>D5</f>
        <v>37546.09584436212</v>
      </c>
      <c r="E8" s="21">
        <f>E5</f>
        <v>5044.3397240610684</v>
      </c>
      <c r="F8" s="21">
        <f>F5</f>
        <v>19139.210314056323</v>
      </c>
      <c r="G8" s="21"/>
      <c r="H8" s="21"/>
      <c r="I8" s="21"/>
      <c r="J8" s="21">
        <f>J5</f>
        <v>2105.0415199622776</v>
      </c>
      <c r="K8" s="21"/>
      <c r="L8" s="21">
        <f>L5</f>
        <v>0</v>
      </c>
      <c r="M8" s="21">
        <f>M5</f>
        <v>0</v>
      </c>
      <c r="N8" s="21">
        <f>N5</f>
        <v>12674.59937909104</v>
      </c>
      <c r="O8" s="21">
        <f>O5</f>
        <v>200.10666666666668</v>
      </c>
      <c r="P8" s="21">
        <f>P5</f>
        <v>266.93333333333334</v>
      </c>
    </row>
    <row r="9" spans="1:16">
      <c r="B9" s="19"/>
      <c r="C9" s="19"/>
      <c r="D9" s="258"/>
      <c r="E9" s="19"/>
      <c r="F9" s="19"/>
      <c r="G9" s="19"/>
      <c r="H9" s="19"/>
      <c r="I9" s="19"/>
      <c r="J9" s="19"/>
      <c r="K9" s="19"/>
      <c r="L9" s="19"/>
      <c r="M9" s="19"/>
      <c r="N9" s="19"/>
      <c r="O9" s="19"/>
      <c r="P9" s="19"/>
    </row>
    <row r="10" spans="1:16">
      <c r="A10" s="24" t="s">
        <v>214</v>
      </c>
      <c r="B10" s="25">
        <f ca="1">'EF ele_warmte'!B12</f>
        <v>0.19172874181709948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3554.4517849734561</v>
      </c>
      <c r="C12" s="23">
        <f ca="1">C10*C8</f>
        <v>0</v>
      </c>
      <c r="D12" s="23">
        <f>D8*D10</f>
        <v>7584.3113605611488</v>
      </c>
      <c r="E12" s="23">
        <f>E10*E8</f>
        <v>1145.0651173618626</v>
      </c>
      <c r="F12" s="23">
        <f>F10*F8</f>
        <v>5110.1691538530386</v>
      </c>
      <c r="G12" s="23"/>
      <c r="H12" s="23"/>
      <c r="I12" s="23"/>
      <c r="J12" s="23">
        <f>J10*J8</f>
        <v>745.18469806664621</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1778</v>
      </c>
      <c r="C18" s="166" t="s">
        <v>111</v>
      </c>
      <c r="D18" s="228"/>
      <c r="E18" s="15"/>
    </row>
    <row r="19" spans="1:7">
      <c r="A19" s="171" t="s">
        <v>72</v>
      </c>
      <c r="B19" s="37">
        <f>aantalw2001_ander</f>
        <v>0</v>
      </c>
      <c r="C19" s="166" t="s">
        <v>111</v>
      </c>
      <c r="D19" s="229"/>
      <c r="E19" s="15"/>
    </row>
    <row r="20" spans="1:7">
      <c r="A20" s="171" t="s">
        <v>73</v>
      </c>
      <c r="B20" s="37">
        <f>aantalw2001_propaan</f>
        <v>118</v>
      </c>
      <c r="C20" s="167">
        <f>IF(ISERROR(B20/SUM($B$20,$B$21,$B$22)*100),0,B20/SUM($B$20,$B$21,$B$22)*100)</f>
        <v>22.39089184060721</v>
      </c>
      <c r="D20" s="229"/>
      <c r="E20" s="15"/>
    </row>
    <row r="21" spans="1:7">
      <c r="A21" s="171" t="s">
        <v>74</v>
      </c>
      <c r="B21" s="37">
        <f>aantalw2001_elektriciteit</f>
        <v>322</v>
      </c>
      <c r="C21" s="167">
        <f>IF(ISERROR(B21/SUM($B$20,$B$21,$B$22)*100),0,B21/SUM($B$20,$B$21,$B$22)*100)</f>
        <v>61.100569259962043</v>
      </c>
      <c r="D21" s="229"/>
      <c r="E21" s="15"/>
    </row>
    <row r="22" spans="1:7">
      <c r="A22" s="171" t="s">
        <v>75</v>
      </c>
      <c r="B22" s="37">
        <f>aantalw2001_hout</f>
        <v>87</v>
      </c>
      <c r="C22" s="167">
        <f>IF(ISERROR(B22/SUM($B$20,$B$21,$B$22)*100),0,B22/SUM($B$20,$B$21,$B$22)*100)</f>
        <v>16.508538899430743</v>
      </c>
      <c r="D22" s="229"/>
      <c r="E22" s="15"/>
    </row>
    <row r="23" spans="1:7">
      <c r="A23" s="171" t="s">
        <v>76</v>
      </c>
      <c r="B23" s="37">
        <f>aantalw2001_niet_gespec</f>
        <v>79</v>
      </c>
      <c r="C23" s="166" t="s">
        <v>111</v>
      </c>
      <c r="D23" s="228"/>
      <c r="E23" s="15"/>
    </row>
    <row r="24" spans="1:7">
      <c r="A24" s="171" t="s">
        <v>77</v>
      </c>
      <c r="B24" s="37">
        <f>aantalw2001_steenkool</f>
        <v>155</v>
      </c>
      <c r="C24" s="166" t="s">
        <v>111</v>
      </c>
      <c r="D24" s="229"/>
      <c r="E24" s="15"/>
    </row>
    <row r="25" spans="1:7">
      <c r="A25" s="171" t="s">
        <v>78</v>
      </c>
      <c r="B25" s="37">
        <f>aantalw2001_stookolie</f>
        <v>1597</v>
      </c>
      <c r="C25" s="166" t="s">
        <v>111</v>
      </c>
      <c r="D25" s="228"/>
      <c r="E25" s="52"/>
    </row>
    <row r="26" spans="1:7">
      <c r="A26" s="171" t="s">
        <v>79</v>
      </c>
      <c r="B26" s="37">
        <f>aantalw2001_WP</f>
        <v>0</v>
      </c>
      <c r="C26" s="166" t="s">
        <v>111</v>
      </c>
      <c r="D26" s="228"/>
      <c r="E26" s="15"/>
    </row>
    <row r="27" spans="1:7" s="15" customFormat="1">
      <c r="A27" s="171"/>
      <c r="B27" s="29"/>
      <c r="C27" s="36"/>
      <c r="D27" s="228"/>
    </row>
    <row r="28" spans="1:7" s="15" customFormat="1">
      <c r="A28" s="230" t="s">
        <v>794</v>
      </c>
      <c r="B28" s="37">
        <f>aantalHuishoudens2011</f>
        <v>4608</v>
      </c>
      <c r="C28" s="36"/>
      <c r="D28" s="228"/>
    </row>
    <row r="29" spans="1:7" s="15" customFormat="1">
      <c r="A29" s="230" t="s">
        <v>795</v>
      </c>
      <c r="B29" s="37">
        <f>SUM(HH_hh_gas_aantal,HH_rest_gas_aantal)</f>
        <v>2731</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2731</v>
      </c>
      <c r="C32" s="167">
        <f>IF(ISERROR(B32/SUM($B$32,$B$34,$B$35,$B$36,$B$38,$B$39)*100),0,B32/SUM($B$32,$B$34,$B$35,$B$36,$B$38,$B$39)*100)</f>
        <v>59.44710491946018</v>
      </c>
      <c r="D32" s="233"/>
      <c r="G32" s="15"/>
    </row>
    <row r="33" spans="1:7">
      <c r="A33" s="171" t="s">
        <v>72</v>
      </c>
      <c r="B33" s="34" t="s">
        <v>111</v>
      </c>
      <c r="C33" s="167"/>
      <c r="D33" s="233"/>
      <c r="G33" s="15"/>
    </row>
    <row r="34" spans="1:7">
      <c r="A34" s="171" t="s">
        <v>73</v>
      </c>
      <c r="B34" s="33">
        <f>IF((($B$28-$B$32-$B$39-$B$77-$B$38)*C20/100)&lt;0,0,($B$28-$B$32-$B$39-$B$77-$B$38)*C20/100)</f>
        <v>238.23908918406073</v>
      </c>
      <c r="C34" s="167">
        <f>IF(ISERROR(B34/SUM($B$32,$B$34,$B$35,$B$36,$B$38,$B$39)*100),0,B34/SUM($B$32,$B$34,$B$35,$B$36,$B$38,$B$39)*100)</f>
        <v>5.1858748189826027</v>
      </c>
      <c r="D34" s="233"/>
      <c r="G34" s="15"/>
    </row>
    <row r="35" spans="1:7">
      <c r="A35" s="171" t="s">
        <v>74</v>
      </c>
      <c r="B35" s="33">
        <f>IF((($B$28-$B$32-$B$39-$B$77-$B$38)*C21/100)&lt;0,0,($B$28-$B$32-$B$39-$B$77-$B$38)*C21/100)</f>
        <v>650.1100569259961</v>
      </c>
      <c r="C35" s="167">
        <f>IF(ISERROR(B35/SUM($B$32,$B$34,$B$35,$B$36,$B$38,$B$39)*100),0,B35/SUM($B$32,$B$34,$B$35,$B$36,$B$38,$B$39)*100)</f>
        <v>14.151285522986424</v>
      </c>
      <c r="D35" s="233"/>
      <c r="G35" s="15"/>
    </row>
    <row r="36" spans="1:7">
      <c r="A36" s="171" t="s">
        <v>75</v>
      </c>
      <c r="B36" s="33">
        <f>IF((($B$28-$B$32-$B$39-$B$77-$B$38)*C22/100)&lt;0,0,($B$28-$B$32-$B$39-$B$77-$B$38)*C22/100)</f>
        <v>175.65085388994311</v>
      </c>
      <c r="C36" s="167">
        <f>IF(ISERROR(B36/SUM($B$32,$B$34,$B$35,$B$36,$B$38,$B$39)*100),0,B36/SUM($B$32,$B$34,$B$35,$B$36,$B$38,$B$39)*100)</f>
        <v>3.8234839767075131</v>
      </c>
      <c r="D36" s="233"/>
      <c r="G36" s="15"/>
    </row>
    <row r="37" spans="1:7">
      <c r="A37" s="171" t="s">
        <v>76</v>
      </c>
      <c r="B37" s="34" t="s">
        <v>111</v>
      </c>
      <c r="C37" s="167"/>
      <c r="D37" s="173"/>
      <c r="G37" s="15"/>
    </row>
    <row r="38" spans="1:7">
      <c r="A38" s="171" t="s">
        <v>77</v>
      </c>
      <c r="B38" s="33">
        <f>IF((B24-(B29-B18)*0.1)&lt;0,0,B24-(B29-B18)*0.1)</f>
        <v>59.699999999999989</v>
      </c>
      <c r="C38" s="167">
        <f>IF(ISERROR(B38/SUM($B$32,$B$34,$B$35,$B$36,$B$38,$B$39)*100),0,B38/SUM($B$32,$B$34,$B$35,$B$36,$B$38,$B$39)*100)</f>
        <v>1.2995211144971703</v>
      </c>
      <c r="D38" s="234"/>
      <c r="G38" s="15"/>
    </row>
    <row r="39" spans="1:7">
      <c r="A39" s="171" t="s">
        <v>78</v>
      </c>
      <c r="B39" s="33">
        <f>IF((B25-(B29-B18))&lt;0,0,B25-(B29-B18)*0.9)</f>
        <v>739.3</v>
      </c>
      <c r="C39" s="167">
        <f>IF(ISERROR(B39/SUM($B$32,$B$34,$B$35,$B$36,$B$38,$B$39)*100),0,B39/SUM($B$32,$B$34,$B$35,$B$36,$B$38,$B$39)*100)</f>
        <v>16.092729647366134</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2731</v>
      </c>
      <c r="C44" s="34" t="s">
        <v>111</v>
      </c>
      <c r="D44" s="174"/>
    </row>
    <row r="45" spans="1:7">
      <c r="A45" s="171" t="s">
        <v>72</v>
      </c>
      <c r="B45" s="33" t="str">
        <f t="shared" si="0"/>
        <v>-</v>
      </c>
      <c r="C45" s="34" t="s">
        <v>111</v>
      </c>
      <c r="D45" s="174"/>
    </row>
    <row r="46" spans="1:7">
      <c r="A46" s="171" t="s">
        <v>73</v>
      </c>
      <c r="B46" s="33">
        <f t="shared" si="0"/>
        <v>238.23908918406073</v>
      </c>
      <c r="C46" s="34" t="s">
        <v>111</v>
      </c>
      <c r="D46" s="174"/>
    </row>
    <row r="47" spans="1:7">
      <c r="A47" s="171" t="s">
        <v>74</v>
      </c>
      <c r="B47" s="33">
        <f t="shared" si="0"/>
        <v>650.1100569259961</v>
      </c>
      <c r="C47" s="34" t="s">
        <v>111</v>
      </c>
      <c r="D47" s="174"/>
    </row>
    <row r="48" spans="1:7">
      <c r="A48" s="171" t="s">
        <v>75</v>
      </c>
      <c r="B48" s="33">
        <f t="shared" si="0"/>
        <v>175.65085388994311</v>
      </c>
      <c r="C48" s="33">
        <f>B48*10</f>
        <v>1756.5085388994312</v>
      </c>
      <c r="D48" s="234"/>
    </row>
    <row r="49" spans="1:6">
      <c r="A49" s="171" t="s">
        <v>76</v>
      </c>
      <c r="B49" s="33" t="str">
        <f t="shared" si="0"/>
        <v>-</v>
      </c>
      <c r="C49" s="34" t="s">
        <v>111</v>
      </c>
      <c r="D49" s="234"/>
    </row>
    <row r="50" spans="1:6">
      <c r="A50" s="171" t="s">
        <v>77</v>
      </c>
      <c r="B50" s="33">
        <f t="shared" si="0"/>
        <v>59.699999999999989</v>
      </c>
      <c r="C50" s="33">
        <f>B50*2</f>
        <v>119.39999999999998</v>
      </c>
      <c r="D50" s="234"/>
    </row>
    <row r="51" spans="1:6">
      <c r="A51" s="171" t="s">
        <v>78</v>
      </c>
      <c r="B51" s="33">
        <f t="shared" si="0"/>
        <v>739.3</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128</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14</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6" zoomScale="80" zoomScaleNormal="80" workbookViewId="0">
      <selection activeCell="D26" sqref="D26:D32"/>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156</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13982.709458055675</v>
      </c>
      <c r="C5" s="17">
        <f>IF(ISERROR('Eigen informatie GS &amp; warmtenet'!B58),0,'Eigen informatie GS &amp; warmtenet'!B58)</f>
        <v>0</v>
      </c>
      <c r="D5" s="30">
        <f>SUM(D6:D12)</f>
        <v>13867.51341380074</v>
      </c>
      <c r="E5" s="17">
        <f>SUM(E6:E12)</f>
        <v>196.10265858070414</v>
      </c>
      <c r="F5" s="17">
        <f>SUM(F6:F12)</f>
        <v>2703.7871405287206</v>
      </c>
      <c r="G5" s="18"/>
      <c r="H5" s="17"/>
      <c r="I5" s="17"/>
      <c r="J5" s="17">
        <f>SUM(J6:J12)</f>
        <v>8.339822706762412E-2</v>
      </c>
      <c r="K5" s="17"/>
      <c r="L5" s="17"/>
      <c r="M5" s="17"/>
      <c r="N5" s="17">
        <f>SUM(N6:N12)</f>
        <v>3280.6648556199289</v>
      </c>
      <c r="O5" s="17">
        <f>B38*B39*B40</f>
        <v>0</v>
      </c>
      <c r="P5" s="17">
        <f>B46*B47*B48/1000-B46*B47*B48/1000/B49</f>
        <v>0</v>
      </c>
      <c r="R5" s="32"/>
    </row>
    <row r="6" spans="1:18">
      <c r="A6" s="32" t="s">
        <v>54</v>
      </c>
      <c r="B6" s="37">
        <f>B26</f>
        <v>2107.1367478172601</v>
      </c>
      <c r="C6" s="33"/>
      <c r="D6" s="37">
        <f>IF(ISERROR(TER_kantoor_gas_kWh/1000),0,TER_kantoor_gas_kWh/1000)*0.902</f>
        <v>4918.9690766868671</v>
      </c>
      <c r="E6" s="33">
        <f>$C$26*'E Balans VL '!I12/100/3.6*1000000</f>
        <v>1.320683231261564E-2</v>
      </c>
      <c r="F6" s="33">
        <f>$C$26*('E Balans VL '!L12+'E Balans VL '!N12)/100/3.6*1000000</f>
        <v>316.64377418068688</v>
      </c>
      <c r="G6" s="34"/>
      <c r="H6" s="33"/>
      <c r="I6" s="33"/>
      <c r="J6" s="33">
        <f>$C$26*('E Balans VL '!D12+'E Balans VL '!E12)/100/3.6*1000000</f>
        <v>0</v>
      </c>
      <c r="K6" s="33"/>
      <c r="L6" s="33"/>
      <c r="M6" s="33"/>
      <c r="N6" s="33">
        <f>$C$26*'E Balans VL '!Y12/100/3.6*1000000</f>
        <v>2.0151638819783684</v>
      </c>
      <c r="O6" s="33"/>
      <c r="P6" s="33"/>
      <c r="R6" s="32"/>
    </row>
    <row r="7" spans="1:18">
      <c r="A7" s="32" t="s">
        <v>53</v>
      </c>
      <c r="B7" s="37">
        <f t="shared" ref="B7:B12" si="0">B27</f>
        <v>856.35644598816407</v>
      </c>
      <c r="C7" s="33"/>
      <c r="D7" s="37">
        <f>IF(ISERROR(TER_horeca_gas_kWh/1000),0,TER_horeca_gas_kWh/1000)*0.902</f>
        <v>792.05240259021787</v>
      </c>
      <c r="E7" s="33">
        <f>$C$27*'E Balans VL '!I9/100/3.6*1000000</f>
        <v>12.262881664796646</v>
      </c>
      <c r="F7" s="33">
        <f>$C$27*('E Balans VL '!L9+'E Balans VL '!N9)/100/3.6*1000000</f>
        <v>108.44296978580411</v>
      </c>
      <c r="G7" s="34"/>
      <c r="H7" s="33"/>
      <c r="I7" s="33"/>
      <c r="J7" s="33">
        <f>$C$27*('E Balans VL '!D9+'E Balans VL '!E9)/100/3.6*1000000</f>
        <v>0</v>
      </c>
      <c r="K7" s="33"/>
      <c r="L7" s="33"/>
      <c r="M7" s="33"/>
      <c r="N7" s="33">
        <f>$C$27*'E Balans VL '!Y9/100/3.6*1000000</f>
        <v>0.24618359718270519</v>
      </c>
      <c r="O7" s="33"/>
      <c r="P7" s="33"/>
      <c r="R7" s="32"/>
    </row>
    <row r="8" spans="1:18">
      <c r="A8" s="6" t="s">
        <v>52</v>
      </c>
      <c r="B8" s="37">
        <f t="shared" si="0"/>
        <v>3666.7041556061199</v>
      </c>
      <c r="C8" s="33"/>
      <c r="D8" s="37">
        <f>IF(ISERROR(TER_handel_gas_kWh/1000),0,TER_handel_gas_kWh/1000)*0.902</f>
        <v>1514.1163111428957</v>
      </c>
      <c r="E8" s="33">
        <f>$C$28*'E Balans VL '!I13/100/3.6*1000000</f>
        <v>132.99090756613489</v>
      </c>
      <c r="F8" s="33">
        <f>$C$28*('E Balans VL '!L13+'E Balans VL '!N13)/100/3.6*1000000</f>
        <v>706.24434810982234</v>
      </c>
      <c r="G8" s="34"/>
      <c r="H8" s="33"/>
      <c r="I8" s="33"/>
      <c r="J8" s="33">
        <f>$C$28*('E Balans VL '!D13+'E Balans VL '!E13)/100/3.6*1000000</f>
        <v>0</v>
      </c>
      <c r="K8" s="33"/>
      <c r="L8" s="33"/>
      <c r="M8" s="33"/>
      <c r="N8" s="33">
        <f>$C$28*'E Balans VL '!Y13/100/3.6*1000000</f>
        <v>5.0792289265140829</v>
      </c>
      <c r="O8" s="33"/>
      <c r="P8" s="33"/>
      <c r="R8" s="32"/>
    </row>
    <row r="9" spans="1:18">
      <c r="A9" s="32" t="s">
        <v>51</v>
      </c>
      <c r="B9" s="37">
        <f t="shared" si="0"/>
        <v>176.797005411415</v>
      </c>
      <c r="C9" s="33"/>
      <c r="D9" s="37">
        <f>IF(ISERROR(TER_gezond_gas_kWh/1000),0,TER_gezond_gas_kWh/1000)*0.902</f>
        <v>289.55163399747772</v>
      </c>
      <c r="E9" s="33">
        <f>$C$29*'E Balans VL '!I10/100/3.6*1000000</f>
        <v>1.106923809383026E-2</v>
      </c>
      <c r="F9" s="33">
        <f>$C$29*('E Balans VL '!L10+'E Balans VL '!N10)/100/3.6*1000000</f>
        <v>26.263733449482615</v>
      </c>
      <c r="G9" s="34"/>
      <c r="H9" s="33"/>
      <c r="I9" s="33"/>
      <c r="J9" s="33">
        <f>$C$29*('E Balans VL '!D10+'E Balans VL '!E10)/100/3.6*1000000</f>
        <v>0</v>
      </c>
      <c r="K9" s="33"/>
      <c r="L9" s="33"/>
      <c r="M9" s="33"/>
      <c r="N9" s="33">
        <f>$C$29*'E Balans VL '!Y10/100/3.6*1000000</f>
        <v>2.7347131391565447</v>
      </c>
      <c r="O9" s="33"/>
      <c r="P9" s="33"/>
      <c r="R9" s="32"/>
    </row>
    <row r="10" spans="1:18">
      <c r="A10" s="32" t="s">
        <v>50</v>
      </c>
      <c r="B10" s="37">
        <f t="shared" si="0"/>
        <v>3438.4874319422397</v>
      </c>
      <c r="C10" s="33"/>
      <c r="D10" s="37">
        <f>IF(ISERROR(TER_ander_gas_kWh/1000),0,TER_ander_gas_kWh/1000)*0.902</f>
        <v>334.05854031449462</v>
      </c>
      <c r="E10" s="33">
        <f>$C$30*'E Balans VL '!I14/100/3.6*1000000</f>
        <v>4.0985541480958458</v>
      </c>
      <c r="F10" s="33">
        <f>$C$30*('E Balans VL '!L14+'E Balans VL '!N14)/100/3.6*1000000</f>
        <v>899.66117534096225</v>
      </c>
      <c r="G10" s="34"/>
      <c r="H10" s="33"/>
      <c r="I10" s="33"/>
      <c r="J10" s="33">
        <f>$C$30*('E Balans VL '!D14+'E Balans VL '!E14)/100/3.6*1000000</f>
        <v>7.4636083648900564E-2</v>
      </c>
      <c r="K10" s="33"/>
      <c r="L10" s="33"/>
      <c r="M10" s="33"/>
      <c r="N10" s="33">
        <f>$C$30*'E Balans VL '!Y14/100/3.6*1000000</f>
        <v>2919.8793886022258</v>
      </c>
      <c r="O10" s="33"/>
      <c r="P10" s="33"/>
      <c r="R10" s="32"/>
    </row>
    <row r="11" spans="1:18">
      <c r="A11" s="32" t="s">
        <v>55</v>
      </c>
      <c r="B11" s="37">
        <f t="shared" si="0"/>
        <v>118.787819173768</v>
      </c>
      <c r="C11" s="33"/>
      <c r="D11" s="37">
        <f>IF(ISERROR(TER_onderwijs_gas_kWh/1000),0,TER_onderwijs_gas_kWh/1000)*0.902</f>
        <v>591.33004113621269</v>
      </c>
      <c r="E11" s="33">
        <f>$C$31*'E Balans VL '!I11/100/3.6*1000000</f>
        <v>1.7923168653562509</v>
      </c>
      <c r="F11" s="33">
        <f>$C$31*('E Balans VL '!L11+'E Balans VL '!N11)/100/3.6*1000000</f>
        <v>20.813523611111151</v>
      </c>
      <c r="G11" s="34"/>
      <c r="H11" s="33"/>
      <c r="I11" s="33"/>
      <c r="J11" s="33">
        <f>$C$31*('E Balans VL '!D11+'E Balans VL '!E11)/100/3.6*1000000</f>
        <v>0</v>
      </c>
      <c r="K11" s="33"/>
      <c r="L11" s="33"/>
      <c r="M11" s="33"/>
      <c r="N11" s="33">
        <f>$C$31*'E Balans VL '!Y11/100/3.6*1000000</f>
        <v>0.33427795374889868</v>
      </c>
      <c r="O11" s="33"/>
      <c r="P11" s="33"/>
      <c r="R11" s="32"/>
    </row>
    <row r="12" spans="1:18">
      <c r="A12" s="32" t="s">
        <v>260</v>
      </c>
      <c r="B12" s="37">
        <f t="shared" si="0"/>
        <v>3618.43985211671</v>
      </c>
      <c r="C12" s="33"/>
      <c r="D12" s="37">
        <f>IF(ISERROR(TER_rest_gas_kWh/1000),0,TER_rest_gas_kWh/1000)*0.902</f>
        <v>5427.4354079325749</v>
      </c>
      <c r="E12" s="33">
        <f>$C$32*'E Balans VL '!I8/100/3.6*1000000</f>
        <v>44.933722265914064</v>
      </c>
      <c r="F12" s="33">
        <f>$C$32*('E Balans VL '!L8+'E Balans VL '!N8)/100/3.6*1000000</f>
        <v>625.71761605085157</v>
      </c>
      <c r="G12" s="34"/>
      <c r="H12" s="33"/>
      <c r="I12" s="33"/>
      <c r="J12" s="33">
        <f>$C$32*('E Balans VL '!D8+'E Balans VL '!E8)/100/3.6*1000000</f>
        <v>8.7621434187235558E-3</v>
      </c>
      <c r="K12" s="33"/>
      <c r="L12" s="33"/>
      <c r="M12" s="33"/>
      <c r="N12" s="33">
        <f>$C$32*'E Balans VL '!Y8/100/3.6*1000000</f>
        <v>350.37589951912236</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13982.709458055675</v>
      </c>
      <c r="C16" s="21">
        <f t="shared" ca="1" si="1"/>
        <v>0</v>
      </c>
      <c r="D16" s="21">
        <f t="shared" ca="1" si="1"/>
        <v>13867.51341380074</v>
      </c>
      <c r="E16" s="21">
        <f t="shared" si="1"/>
        <v>196.10265858070414</v>
      </c>
      <c r="F16" s="21">
        <f t="shared" ca="1" si="1"/>
        <v>2703.7871405287206</v>
      </c>
      <c r="G16" s="21">
        <f t="shared" si="1"/>
        <v>0</v>
      </c>
      <c r="H16" s="21">
        <f t="shared" si="1"/>
        <v>0</v>
      </c>
      <c r="I16" s="21">
        <f t="shared" si="1"/>
        <v>0</v>
      </c>
      <c r="J16" s="21">
        <f t="shared" si="1"/>
        <v>8.339822706762412E-2</v>
      </c>
      <c r="K16" s="21">
        <f t="shared" si="1"/>
        <v>0</v>
      </c>
      <c r="L16" s="21">
        <f t="shared" ca="1" si="1"/>
        <v>0</v>
      </c>
      <c r="M16" s="21">
        <f t="shared" si="1"/>
        <v>0</v>
      </c>
      <c r="N16" s="21">
        <f t="shared" ca="1" si="1"/>
        <v>3280.6648556199289</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0.19172874181709948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2680.8872915870716</v>
      </c>
      <c r="C20" s="23">
        <f t="shared" ref="C20:P20" ca="1" si="2">C16*C18</f>
        <v>0</v>
      </c>
      <c r="D20" s="23">
        <f t="shared" ca="1" si="2"/>
        <v>2801.2377095877496</v>
      </c>
      <c r="E20" s="23">
        <f t="shared" si="2"/>
        <v>44.515303497819843</v>
      </c>
      <c r="F20" s="23">
        <f t="shared" ca="1" si="2"/>
        <v>721.91116652116841</v>
      </c>
      <c r="G20" s="23">
        <f t="shared" si="2"/>
        <v>0</v>
      </c>
      <c r="H20" s="23">
        <f t="shared" si="2"/>
        <v>0</v>
      </c>
      <c r="I20" s="23">
        <f t="shared" si="2"/>
        <v>0</v>
      </c>
      <c r="J20" s="23">
        <f t="shared" si="2"/>
        <v>2.9522972381938937E-2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2107.1367478172601</v>
      </c>
      <c r="C26" s="39">
        <f>IF(ISERROR(B26*3.6/1000000/'E Balans VL '!Z12*100),0,B26*3.6/1000000/'E Balans VL '!Z12*100)</f>
        <v>4.4541532874623237E-2</v>
      </c>
      <c r="D26" s="237" t="s">
        <v>754</v>
      </c>
      <c r="F26" s="6"/>
    </row>
    <row r="27" spans="1:18">
      <c r="A27" s="231" t="s">
        <v>53</v>
      </c>
      <c r="B27" s="33">
        <f>IF(ISERROR(TER_horeca_ele_kWh/1000),0,TER_horeca_ele_kWh/1000)</f>
        <v>856.35644598816407</v>
      </c>
      <c r="C27" s="39">
        <f>IF(ISERROR(B27*3.6/1000000/'E Balans VL '!Z9*100),0,B27*3.6/1000000/'E Balans VL '!Z9*100)</f>
        <v>6.7506259456904805E-2</v>
      </c>
      <c r="D27" s="237" t="s">
        <v>754</v>
      </c>
      <c r="F27" s="6"/>
    </row>
    <row r="28" spans="1:18">
      <c r="A28" s="171" t="s">
        <v>52</v>
      </c>
      <c r="B28" s="33">
        <f>IF(ISERROR(TER_handel_ele_kWh/1000),0,TER_handel_ele_kWh/1000)</f>
        <v>3666.7041556061199</v>
      </c>
      <c r="C28" s="39">
        <f>IF(ISERROR(B28*3.6/1000000/'E Balans VL '!Z13*100),0,B28*3.6/1000000/'E Balans VL '!Z13*100)</f>
        <v>0.10642256974060568</v>
      </c>
      <c r="D28" s="237" t="s">
        <v>754</v>
      </c>
      <c r="F28" s="6"/>
    </row>
    <row r="29" spans="1:18">
      <c r="A29" s="231" t="s">
        <v>51</v>
      </c>
      <c r="B29" s="33">
        <f>IF(ISERROR(TER_gezond_ele_kWh/1000),0,TER_gezond_ele_kWh/1000)</f>
        <v>176.797005411415</v>
      </c>
      <c r="C29" s="39">
        <f>IF(ISERROR(B29*3.6/1000000/'E Balans VL '!Z10*100),0,B29*3.6/1000000/'E Balans VL '!Z10*100)</f>
        <v>1.8619627753281038E-2</v>
      </c>
      <c r="D29" s="237" t="s">
        <v>754</v>
      </c>
      <c r="F29" s="6"/>
    </row>
    <row r="30" spans="1:18">
      <c r="A30" s="231" t="s">
        <v>50</v>
      </c>
      <c r="B30" s="33">
        <f>IF(ISERROR(TER_ander_ele_kWh/1000),0,TER_ander_ele_kWh/1000)</f>
        <v>3438.4874319422397</v>
      </c>
      <c r="C30" s="39">
        <f>IF(ISERROR(B30*3.6/1000000/'E Balans VL '!Z14*100),0,B30*3.6/1000000/'E Balans VL '!Z14*100)</f>
        <v>0.25362357981581479</v>
      </c>
      <c r="D30" s="237" t="s">
        <v>754</v>
      </c>
      <c r="F30" s="6"/>
    </row>
    <row r="31" spans="1:18">
      <c r="A31" s="231" t="s">
        <v>55</v>
      </c>
      <c r="B31" s="33">
        <f>IF(ISERROR(TER_onderwijs_ele_kWh/1000),0,TER_onderwijs_ele_kWh/1000)</f>
        <v>118.787819173768</v>
      </c>
      <c r="C31" s="39">
        <f>IF(ISERROR(B31*3.6/1000000/'E Balans VL '!Z11*100),0,B31*3.6/1000000/'E Balans VL '!Z11*100)</f>
        <v>2.9500579849992676E-2</v>
      </c>
      <c r="D31" s="237" t="s">
        <v>754</v>
      </c>
    </row>
    <row r="32" spans="1:18">
      <c r="A32" s="231" t="s">
        <v>260</v>
      </c>
      <c r="B32" s="33">
        <f>IF(ISERROR(TER_rest_ele_kWh/1000),0,TER_rest_ele_kWh/1000)</f>
        <v>3618.43985211671</v>
      </c>
      <c r="C32" s="39">
        <f>IF(ISERROR(B32*3.6/1000000/'E Balans VL '!Z8*100),0,B32*3.6/1000000/'E Balans VL '!Z8*100)</f>
        <v>2.9774956992253514E-2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0</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4" sqref="B54"/>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163</v>
      </c>
      <c r="B1" s="1126" t="s">
        <v>195</v>
      </c>
      <c r="C1" s="1127"/>
      <c r="D1" s="1127"/>
      <c r="E1" s="1127"/>
      <c r="F1" s="1127"/>
      <c r="G1" s="1127"/>
      <c r="H1" s="1127"/>
      <c r="I1" s="1127"/>
      <c r="J1" s="1127"/>
      <c r="K1" s="1127"/>
      <c r="L1" s="1127"/>
      <c r="M1" s="1127"/>
      <c r="N1" s="1127"/>
      <c r="O1" s="1127"/>
      <c r="P1" s="1127"/>
      <c r="R1" s="825"/>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c r="R2" s="825"/>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12711.024337551464</v>
      </c>
      <c r="C5" s="17">
        <f>IF(ISERROR('Eigen informatie GS &amp; warmtenet'!B59),0,'Eigen informatie GS &amp; warmtenet'!B59)</f>
        <v>0</v>
      </c>
      <c r="D5" s="30">
        <f>SUM(D6:D15)</f>
        <v>29325.110709750603</v>
      </c>
      <c r="E5" s="17">
        <f>SUM(E6:E15)</f>
        <v>1151.3676767262114</v>
      </c>
      <c r="F5" s="17">
        <f>SUM(F6:F15)</f>
        <v>3677.5242303475184</v>
      </c>
      <c r="G5" s="18"/>
      <c r="H5" s="17"/>
      <c r="I5" s="17"/>
      <c r="J5" s="17">
        <f>SUM(J6:J15)</f>
        <v>34.051726120029741</v>
      </c>
      <c r="K5" s="17"/>
      <c r="L5" s="17"/>
      <c r="M5" s="17"/>
      <c r="N5" s="17">
        <f>SUM(N6:N15)</f>
        <v>2984.9492435269444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149.168870100075</v>
      </c>
      <c r="C8" s="33"/>
      <c r="D8" s="37">
        <f>IF( ISERROR(IND_metaal_Gas_kWH/1000),0,IND_metaal_Gas_kWH/1000)*0.902</f>
        <v>0</v>
      </c>
      <c r="E8" s="33">
        <f>C30*'E Balans VL '!I18/100/3.6*1000000</f>
        <v>1.3714636919053504</v>
      </c>
      <c r="F8" s="33">
        <f>C30*'E Balans VL '!L18/100/3.6*1000000+C30*'E Balans VL '!N18/100/3.6*1000000</f>
        <v>13.987073680986271</v>
      </c>
      <c r="G8" s="34"/>
      <c r="H8" s="33"/>
      <c r="I8" s="33"/>
      <c r="J8" s="40">
        <f>C30*'E Balans VL '!D18/100/3.6*1000000+C30*'E Balans VL '!E18/100/3.6*1000000</f>
        <v>0</v>
      </c>
      <c r="K8" s="33"/>
      <c r="L8" s="33"/>
      <c r="M8" s="33"/>
      <c r="N8" s="33">
        <f>C30*'E Balans VL '!Y18/100/3.6*1000000</f>
        <v>2.128140443916287</v>
      </c>
      <c r="O8" s="33"/>
      <c r="P8" s="33"/>
      <c r="R8" s="32"/>
    </row>
    <row r="9" spans="1:18">
      <c r="A9" s="6" t="s">
        <v>33</v>
      </c>
      <c r="B9" s="37">
        <f t="shared" si="0"/>
        <v>2130.2037181106098</v>
      </c>
      <c r="C9" s="33"/>
      <c r="D9" s="37">
        <f>IF( ISERROR(IND_andere_gas_kWh/1000),0,IND_andere_gas_kWh/1000)*0.902</f>
        <v>1324.6218579744591</v>
      </c>
      <c r="E9" s="33">
        <f>C31*'E Balans VL '!I19/100/3.6*1000000</f>
        <v>622.70001697874409</v>
      </c>
      <c r="F9" s="33">
        <f>C31*'E Balans VL '!L19/100/3.6*1000000+C31*'E Balans VL '!N19/100/3.6*1000000</f>
        <v>1711.7799291075025</v>
      </c>
      <c r="G9" s="34"/>
      <c r="H9" s="33"/>
      <c r="I9" s="33"/>
      <c r="J9" s="40">
        <f>C31*'E Balans VL '!D19/100/3.6*1000000+C31*'E Balans VL '!E19/100/3.6*1000000</f>
        <v>0</v>
      </c>
      <c r="K9" s="33"/>
      <c r="L9" s="33"/>
      <c r="M9" s="33"/>
      <c r="N9" s="33">
        <f>C31*'E Balans VL '!Y19/100/3.6*1000000</f>
        <v>703.8523455810797</v>
      </c>
      <c r="O9" s="33"/>
      <c r="P9" s="33"/>
      <c r="R9" s="32"/>
    </row>
    <row r="10" spans="1:18">
      <c r="A10" s="6" t="s">
        <v>41</v>
      </c>
      <c r="B10" s="37">
        <f t="shared" si="0"/>
        <v>606.67723998223505</v>
      </c>
      <c r="C10" s="33"/>
      <c r="D10" s="37">
        <f>IF( ISERROR(IND_voed_gas_kWh/1000),0,IND_voed_gas_kWh/1000)*0.902</f>
        <v>542.34745366715538</v>
      </c>
      <c r="E10" s="33">
        <f>C32*'E Balans VL '!I20/100/3.6*1000000</f>
        <v>1.2834351078244355</v>
      </c>
      <c r="F10" s="33">
        <f>C32*'E Balans VL '!L20/100/3.6*1000000+C32*'E Balans VL '!N20/100/3.6*1000000</f>
        <v>38.573158620698649</v>
      </c>
      <c r="G10" s="34"/>
      <c r="H10" s="33"/>
      <c r="I10" s="33"/>
      <c r="J10" s="40">
        <f>C32*'E Balans VL '!D20/100/3.6*1000000+C32*'E Balans VL '!E20/100/3.6*1000000</f>
        <v>0</v>
      </c>
      <c r="K10" s="33"/>
      <c r="L10" s="33"/>
      <c r="M10" s="33"/>
      <c r="N10" s="33">
        <f>C32*'E Balans VL '!Y20/100/3.6*1000000</f>
        <v>41.866716396064234</v>
      </c>
      <c r="O10" s="33"/>
      <c r="P10" s="33"/>
      <c r="R10" s="32"/>
    </row>
    <row r="11" spans="1:18">
      <c r="A11" s="6" t="s">
        <v>40</v>
      </c>
      <c r="B11" s="37">
        <f t="shared" si="0"/>
        <v>284.27192419262104</v>
      </c>
      <c r="C11" s="33"/>
      <c r="D11" s="37">
        <f>IF( ISERROR(IND_textiel_gas_kWh/1000),0,IND_textiel_gas_kWh/1000)*0.902</f>
        <v>0</v>
      </c>
      <c r="E11" s="33">
        <f>C33*'E Balans VL '!I21/100/3.6*1000000</f>
        <v>0.84426310590055531</v>
      </c>
      <c r="F11" s="33">
        <f>C33*'E Balans VL '!L21/100/3.6*1000000+C33*'E Balans VL '!N21/100/3.6*1000000</f>
        <v>28.719268778011298</v>
      </c>
      <c r="G11" s="34"/>
      <c r="H11" s="33"/>
      <c r="I11" s="33"/>
      <c r="J11" s="40">
        <f>C33*'E Balans VL '!D21/100/3.6*1000000+C33*'E Balans VL '!E21/100/3.6*1000000</f>
        <v>0</v>
      </c>
      <c r="K11" s="33"/>
      <c r="L11" s="33"/>
      <c r="M11" s="33"/>
      <c r="N11" s="33">
        <f>C33*'E Balans VL '!Y21/100/3.6*1000000</f>
        <v>15.678503831636847</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30.305975515573003</v>
      </c>
      <c r="C13" s="33"/>
      <c r="D13" s="37">
        <f>IF( ISERROR(IND_papier_gas_kWh/1000),0,IND_papier_gas_kWh/1000)*0.902</f>
        <v>33.434799319114887</v>
      </c>
      <c r="E13" s="33">
        <f>C35*'E Balans VL '!I23/100/3.6*1000000</f>
        <v>4.2997248333802293E-2</v>
      </c>
      <c r="F13" s="33">
        <f>C35*'E Balans VL '!L23/100/3.6*1000000+C35*'E Balans VL '!N23/100/3.6*1000000</f>
        <v>0.73988282015043849</v>
      </c>
      <c r="G13" s="34"/>
      <c r="H13" s="33"/>
      <c r="I13" s="33"/>
      <c r="J13" s="40">
        <f>C35*'E Balans VL '!D23/100/3.6*1000000+C35*'E Balans VL '!E23/100/3.6*1000000</f>
        <v>4.6871036433200289E-3</v>
      </c>
      <c r="K13" s="33"/>
      <c r="L13" s="33"/>
      <c r="M13" s="33"/>
      <c r="N13" s="33">
        <f>C35*'E Balans VL '!Y23/100/3.6*1000000</f>
        <v>88.092296906614493</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9510.39660965035</v>
      </c>
      <c r="C15" s="33"/>
      <c r="D15" s="37">
        <f>IF( ISERROR(IND_rest_gas_kWh/1000),0,IND_rest_gas_kWh/1000)*0.902</f>
        <v>27424.706598789875</v>
      </c>
      <c r="E15" s="33">
        <f>C37*'E Balans VL '!I15/100/3.6*1000000</f>
        <v>525.12550059350315</v>
      </c>
      <c r="F15" s="33">
        <f>C37*'E Balans VL '!L15/100/3.6*1000000+C37*'E Balans VL '!N15/100/3.6*1000000</f>
        <v>1883.7249173401692</v>
      </c>
      <c r="G15" s="34"/>
      <c r="H15" s="33"/>
      <c r="I15" s="33"/>
      <c r="J15" s="40">
        <f>C37*'E Balans VL '!D15/100/3.6*1000000+C37*'E Balans VL '!E15/100/3.6*1000000</f>
        <v>34.047039016386421</v>
      </c>
      <c r="K15" s="33"/>
      <c r="L15" s="33"/>
      <c r="M15" s="33"/>
      <c r="N15" s="33">
        <f>C37*'E Balans VL '!Y15/100/3.6*1000000</f>
        <v>2133.3312403676327</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12711.024337551464</v>
      </c>
      <c r="C18" s="21">
        <f>C5+C16</f>
        <v>0</v>
      </c>
      <c r="D18" s="21">
        <f>MAX((D5+D16),0)</f>
        <v>29325.110709750603</v>
      </c>
      <c r="E18" s="21">
        <f>MAX((E5+E16),0)</f>
        <v>1151.3676767262114</v>
      </c>
      <c r="F18" s="21">
        <f>MAX((F5+F16),0)</f>
        <v>3677.5242303475184</v>
      </c>
      <c r="G18" s="21"/>
      <c r="H18" s="21"/>
      <c r="I18" s="21"/>
      <c r="J18" s="21">
        <f>MAX((J5+J16),0)</f>
        <v>34.051726120029741</v>
      </c>
      <c r="K18" s="21"/>
      <c r="L18" s="21">
        <f>MAX((L5+L16),0)</f>
        <v>0</v>
      </c>
      <c r="M18" s="21"/>
      <c r="N18" s="21">
        <f>MAX((N5+N16),0)</f>
        <v>2984.9492435269444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0.19172874181709948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2437.0687034452726</v>
      </c>
      <c r="C22" s="23">
        <f ca="1">C18*C20</f>
        <v>0</v>
      </c>
      <c r="D22" s="23">
        <f>D18*D20</f>
        <v>5923.672363369622</v>
      </c>
      <c r="E22" s="23">
        <f>E18*E20</f>
        <v>261.36046261684999</v>
      </c>
      <c r="F22" s="23">
        <f>F18*F20</f>
        <v>981.89896950278751</v>
      </c>
      <c r="G22" s="23"/>
      <c r="H22" s="23"/>
      <c r="I22" s="23"/>
      <c r="J22" s="23">
        <f>J18*J20</f>
        <v>12.054311046490527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149.168870100075</v>
      </c>
      <c r="C30" s="39">
        <f>IF(ISERROR(B30*3.6/1000000/'E Balans VL '!Z18*100),0,B30*3.6/1000000/'E Balans VL '!Z18*100)</f>
        <v>8.4537823625711484E-3</v>
      </c>
      <c r="D30" s="237" t="s">
        <v>754</v>
      </c>
    </row>
    <row r="31" spans="1:18">
      <c r="A31" s="6" t="s">
        <v>33</v>
      </c>
      <c r="B31" s="37">
        <f>IF( ISERROR(IND_ander_ele_kWh/1000),0,IND_ander_ele_kWh/1000)</f>
        <v>2130.2037181106098</v>
      </c>
      <c r="C31" s="39">
        <f>IF(ISERROR(B31*3.6/1000000/'E Balans VL '!Z19*100),0,B31*3.6/1000000/'E Balans VL '!Z19*100)</f>
        <v>9.6617170639594935E-2</v>
      </c>
      <c r="D31" s="237" t="s">
        <v>754</v>
      </c>
    </row>
    <row r="32" spans="1:18">
      <c r="A32" s="171" t="s">
        <v>41</v>
      </c>
      <c r="B32" s="37">
        <f>IF( ISERROR(IND_voed_ele_kWh/1000),0,IND_voed_ele_kWh/1000)</f>
        <v>606.67723998223505</v>
      </c>
      <c r="C32" s="39">
        <f>IF(ISERROR(B32*3.6/1000000/'E Balans VL '!Z20*100),0,B32*3.6/1000000/'E Balans VL '!Z20*100)</f>
        <v>1.8767281114777767E-2</v>
      </c>
      <c r="D32" s="237" t="s">
        <v>754</v>
      </c>
    </row>
    <row r="33" spans="1:5">
      <c r="A33" s="171" t="s">
        <v>40</v>
      </c>
      <c r="B33" s="37">
        <f>IF( ISERROR(IND_textiel_ele_kWh/1000),0,IND_textiel_ele_kWh/1000)</f>
        <v>284.27192419262104</v>
      </c>
      <c r="C33" s="39">
        <f>IF(ISERROR(B33*3.6/1000000/'E Balans VL '!Z21*100),0,B33*3.6/1000000/'E Balans VL '!Z21*100)</f>
        <v>3.7065899071380734E-2</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30.305975515573003</v>
      </c>
      <c r="C35" s="39">
        <f>IF(ISERROR(B35*3.6/1000000/'E Balans VL '!Z22*100),0,B35*3.6/1000000/'E Balans VL '!Z22*100)</f>
        <v>5.4510994597051507E-3</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9510.39660965035</v>
      </c>
      <c r="C37" s="39">
        <f>IF(ISERROR(B37*3.6/1000000/'E Balans VL '!Z15*100),0,B37*3.6/1000000/'E Balans VL '!Z15*100)</f>
        <v>7.5381573009328268E-2</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271</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3755.5538024252273</v>
      </c>
      <c r="C5" s="17">
        <f>'Eigen informatie GS &amp; warmtenet'!B60</f>
        <v>0</v>
      </c>
      <c r="D5" s="30">
        <f>IF(ISERROR(SUM(LB_lb_gas_kWh,LB_rest_gas_kWh,onbekend_gas_kWh)/1000),0,SUM(LB_lb_gas_kWh,LB_rest_gas_kWh,onbekend_gas_kWh)/1000)*0.902</f>
        <v>905.92423139878611</v>
      </c>
      <c r="E5" s="17">
        <f>B17*'E Balans VL '!I25/3.6*1000000/100</f>
        <v>110.38719703856528</v>
      </c>
      <c r="F5" s="17">
        <f>B17*('E Balans VL '!L25/3.6*1000000+'E Balans VL '!N25/3.6*1000000)/100</f>
        <v>15645.434201427834</v>
      </c>
      <c r="G5" s="18"/>
      <c r="H5" s="17"/>
      <c r="I5" s="17"/>
      <c r="J5" s="17">
        <f>('E Balans VL '!D25+'E Balans VL '!E25)/3.6*1000000*landbouw!B17/100</f>
        <v>544.09909453030048</v>
      </c>
      <c r="K5" s="17"/>
      <c r="L5" s="17">
        <f>L6*(-1)</f>
        <v>0</v>
      </c>
      <c r="M5" s="17"/>
      <c r="N5" s="17">
        <f>N6*(-1)</f>
        <v>0</v>
      </c>
      <c r="O5" s="17"/>
      <c r="P5" s="17"/>
      <c r="R5" s="32"/>
    </row>
    <row r="6" spans="1:18">
      <c r="A6" s="16" t="s">
        <v>488</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3755.5538024252273</v>
      </c>
      <c r="C8" s="21">
        <f>C5+C6</f>
        <v>0</v>
      </c>
      <c r="D8" s="21">
        <f>MAX((D5+D6),0)</f>
        <v>905.92423139878611</v>
      </c>
      <c r="E8" s="21">
        <f>MAX((E5+E6),0)</f>
        <v>110.38719703856528</v>
      </c>
      <c r="F8" s="21">
        <f>MAX((F5+F6),0)</f>
        <v>15645.434201427834</v>
      </c>
      <c r="G8" s="21"/>
      <c r="H8" s="21"/>
      <c r="I8" s="21"/>
      <c r="J8" s="21">
        <f>MAX((J5+J6),0)</f>
        <v>544.09909453030048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0.19172874181709948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720.04760536541266</v>
      </c>
      <c r="C12" s="23">
        <f ca="1">C8*C10</f>
        <v>0</v>
      </c>
      <c r="D12" s="23">
        <f>D8*D10</f>
        <v>182.99669474255481</v>
      </c>
      <c r="E12" s="23">
        <f>E8*E10</f>
        <v>25.057893727754319</v>
      </c>
      <c r="F12" s="23">
        <f>F8*F10</f>
        <v>4177.3309317812318</v>
      </c>
      <c r="G12" s="23"/>
      <c r="H12" s="23"/>
      <c r="I12" s="23"/>
      <c r="J12" s="23">
        <f>J8*J10</f>
        <v>192.61107946372636</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0.53292486725485944</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33" t="s">
        <v>303</v>
      </c>
      <c r="B22" s="1136" t="s">
        <v>304</v>
      </c>
      <c r="C22" s="1136" t="s">
        <v>493</v>
      </c>
    </row>
    <row r="23" spans="1:4">
      <c r="A23" s="1134"/>
      <c r="B23" s="1137"/>
      <c r="C23" s="1137"/>
    </row>
    <row r="24" spans="1:4" ht="15.75" thickBot="1">
      <c r="A24" s="1135"/>
      <c r="B24" s="1138"/>
      <c r="C24" s="1138"/>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304.02967620240076</v>
      </c>
      <c r="C26" s="247">
        <f>B26*'GWP N2O_CH4'!B5</f>
        <v>6384.6232002504157</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252.58988679787376</v>
      </c>
      <c r="C27" s="247">
        <f>B27*'GWP N2O_CH4'!B5</f>
        <v>5304.3876227553492</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4.7582725506162156</v>
      </c>
      <c r="C28" s="247">
        <f>B28*'GWP N2O_CH4'!B4</f>
        <v>1475.0644906910268</v>
      </c>
      <c r="D28" s="50"/>
    </row>
    <row r="29" spans="1:4">
      <c r="A29" s="41" t="s">
        <v>277</v>
      </c>
      <c r="B29" s="247">
        <f>B34*'ha_N2O bodem landbouw'!B4</f>
        <v>12.55281488683689</v>
      </c>
      <c r="C29" s="247">
        <f>B29*'GWP N2O_CH4'!B4</f>
        <v>3891.3726149194358</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2.8645090982516151E-3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4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5" t="s">
        <v>497</v>
      </c>
      <c r="B1" s="1126" t="s">
        <v>546</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6.0075458044087905E-5</v>
      </c>
      <c r="C5" s="463" t="s">
        <v>211</v>
      </c>
      <c r="D5" s="448">
        <f>SUM(D6:D11)</f>
        <v>2.3764825208181034E-4</v>
      </c>
      <c r="E5" s="448">
        <f>SUM(E6:E11)</f>
        <v>3.1140760656397167E-4</v>
      </c>
      <c r="F5" s="461" t="s">
        <v>211</v>
      </c>
      <c r="G5" s="448">
        <f>SUM(G6:G11)</f>
        <v>0.12596119509162812</v>
      </c>
      <c r="H5" s="448">
        <f>SUM(H6:H11)</f>
        <v>2.6618015109540035E-2</v>
      </c>
      <c r="I5" s="463" t="s">
        <v>211</v>
      </c>
      <c r="J5" s="463" t="s">
        <v>211</v>
      </c>
      <c r="K5" s="463" t="s">
        <v>211</v>
      </c>
      <c r="L5" s="463" t="s">
        <v>211</v>
      </c>
      <c r="M5" s="448">
        <f>SUM(M6:M11)</f>
        <v>8.149376828307962E-3</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3.5453981998545828E-5</v>
      </c>
      <c r="C6" s="449"/>
      <c r="D6" s="962">
        <f>vkm_2011_GW_PW*SUMIFS(TableVerdeelsleutelVkm[CNG],TableVerdeelsleutelVkm[Voertuigtype],"Lichte voertuigen")*SUMIFS(TableECFTransport[EnergieConsumptieFactor (PJ per km)],TableECFTransport[Index],CONCATENATE($A6,"_CNG_CNG"))</f>
        <v>1.063415972609113E-4</v>
      </c>
      <c r="E6" s="962">
        <f>vkm_2011_GW_PW*SUMIFS(TableVerdeelsleutelVkm[LPG],TableVerdeelsleutelVkm[Voertuigtype],"Lichte voertuigen")*SUMIFS(TableECFTransport[EnergieConsumptieFactor (PJ per km)],TableECFTransport[Index],CONCATENATE($A6,"_LPG_LPG"))</f>
        <v>1.452778970760542E-4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3.7562204541556933E-2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1.2093017549948563E-2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2.5534730835543103E-3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2.6835339149356832E-2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8.1774355405830268E-6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1.5681681131284374E-3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2.4621476045542077E-5</v>
      </c>
      <c r="C8" s="449"/>
      <c r="D8" s="451">
        <f>vkm_2011_NGW_PW*SUMIFS(TableVerdeelsleutelVkm[CNG],TableVerdeelsleutelVkm[Voertuigtype],"Lichte voertuigen")*SUMIFS(TableECFTransport[EnergieConsumptieFactor (PJ per km)],TableECFTransport[Index],CONCATENATE($A8,"_CNG_CNG"))</f>
        <v>1.3130665482089904E-4</v>
      </c>
      <c r="E8" s="451">
        <f>vkm_2011_NGW_PW*SUMIFS(TableVerdeelsleutelVkm[LPG],TableVerdeelsleutelVkm[Voertuigtype],"Lichte voertuigen")*SUMIFS(TableECFTransport[EnergieConsumptieFactor (PJ per km)],TableECFTransport[Index],CONCATENATE($A8,"_LPG_LPG"))</f>
        <v>1.6612970948791744E-4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4.0028142655362191E-2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1.4510642156417106E-2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2.7692834165110444E-3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2.1535508745352164E-2</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6.1779676337846767E-6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1.2584522151141693E-3</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16.687627234468863</v>
      </c>
      <c r="C14" s="21"/>
      <c r="D14" s="21">
        <f t="shared" ref="D14:M14" si="0">((D5)*10^9/3600)+D12</f>
        <v>66.013403356058433</v>
      </c>
      <c r="E14" s="21">
        <f t="shared" si="0"/>
        <v>86.502112934436582</v>
      </c>
      <c r="F14" s="21"/>
      <c r="G14" s="21">
        <f t="shared" si="0"/>
        <v>34989.220858785586</v>
      </c>
      <c r="H14" s="21">
        <f t="shared" si="0"/>
        <v>7393.8930859833426</v>
      </c>
      <c r="I14" s="21"/>
      <c r="J14" s="21"/>
      <c r="K14" s="21"/>
      <c r="L14" s="21"/>
      <c r="M14" s="21">
        <f t="shared" si="0"/>
        <v>2263.7157856411004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0.19172874181709948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3.1994977735774786</v>
      </c>
      <c r="C18" s="23"/>
      <c r="D18" s="23">
        <f t="shared" ref="D18:M18" si="1">D14*D16</f>
        <v>13.334707477923804</v>
      </c>
      <c r="E18" s="23">
        <f t="shared" si="1"/>
        <v>19.635979636117106</v>
      </c>
      <c r="F18" s="23"/>
      <c r="G18" s="23">
        <f t="shared" si="1"/>
        <v>9342.1219692957511</v>
      </c>
      <c r="H18" s="23">
        <f t="shared" si="1"/>
        <v>1841.0793784098523</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9" t="s">
        <v>498</v>
      </c>
      <c r="B46" s="1140" t="s">
        <v>545</v>
      </c>
      <c r="C46" s="1141"/>
      <c r="D46" s="1141"/>
      <c r="E46" s="1141"/>
      <c r="F46" s="1141"/>
      <c r="G46" s="1141"/>
      <c r="H46" s="1141"/>
      <c r="I46" s="1141"/>
      <c r="J46" s="1141"/>
      <c r="K46" s="1141"/>
      <c r="L46" s="1141"/>
      <c r="M46" s="1141"/>
      <c r="N46" s="1141"/>
      <c r="O46" s="1141"/>
      <c r="P46" s="1141"/>
    </row>
    <row r="47" spans="1:16" s="15" customFormat="1" ht="15.75" thickTop="1">
      <c r="A47" s="1139"/>
      <c r="B47" s="1142" t="s">
        <v>21</v>
      </c>
      <c r="C47" s="1142" t="s">
        <v>196</v>
      </c>
      <c r="D47" s="1144" t="s">
        <v>197</v>
      </c>
      <c r="E47" s="1145"/>
      <c r="F47" s="1145"/>
      <c r="G47" s="1145"/>
      <c r="H47" s="1145"/>
      <c r="I47" s="1145"/>
      <c r="J47" s="1145"/>
      <c r="K47" s="1146"/>
      <c r="L47" s="1144" t="s">
        <v>198</v>
      </c>
      <c r="M47" s="1145"/>
      <c r="N47" s="1145"/>
      <c r="O47" s="1145"/>
      <c r="P47" s="1146"/>
    </row>
    <row r="48" spans="1:16" s="15" customFormat="1" ht="45">
      <c r="A48" s="1139"/>
      <c r="B48" s="1143"/>
      <c r="C48" s="114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1.3744601291565447E-3</v>
      </c>
      <c r="H50" s="321">
        <f t="shared" si="2"/>
        <v>0</v>
      </c>
      <c r="I50" s="321">
        <f t="shared" si="2"/>
        <v>0</v>
      </c>
      <c r="J50" s="321">
        <f t="shared" si="2"/>
        <v>0</v>
      </c>
      <c r="K50" s="321">
        <f t="shared" si="2"/>
        <v>0</v>
      </c>
      <c r="L50" s="321">
        <f t="shared" si="2"/>
        <v>0</v>
      </c>
      <c r="M50" s="321">
        <f t="shared" si="2"/>
        <v>7.8063267676864033E-5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1.3744601291565447E-3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7.8063267676864033E-5</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381.79448032126243</v>
      </c>
      <c r="H54" s="21">
        <f t="shared" si="3"/>
        <v>0</v>
      </c>
      <c r="I54" s="21">
        <f t="shared" si="3"/>
        <v>0</v>
      </c>
      <c r="J54" s="21">
        <f t="shared" si="3"/>
        <v>0</v>
      </c>
      <c r="K54" s="21">
        <f t="shared" si="3"/>
        <v>0</v>
      </c>
      <c r="L54" s="21">
        <f t="shared" si="3"/>
        <v>0</v>
      </c>
      <c r="M54" s="21">
        <f t="shared" si="3"/>
        <v>21.68424102135112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0.19172874181709948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101.93912624577708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1" t="s">
        <v>241</v>
      </c>
      <c r="B1" s="1171" t="s">
        <v>242</v>
      </c>
      <c r="C1" s="1174" t="s">
        <v>243</v>
      </c>
      <c r="D1" s="1175"/>
      <c r="E1" s="1175"/>
      <c r="F1" s="1175"/>
      <c r="G1" s="1175"/>
      <c r="H1" s="1175"/>
      <c r="I1" s="1175"/>
      <c r="J1" s="1175"/>
      <c r="K1" s="1175"/>
      <c r="L1" s="1176"/>
      <c r="M1" s="1160" t="s">
        <v>244</v>
      </c>
      <c r="N1" s="1159" t="s">
        <v>547</v>
      </c>
      <c r="O1" s="1160"/>
      <c r="Q1" s="1158"/>
      <c r="R1" s="1158"/>
      <c r="S1" s="1158"/>
    </row>
    <row r="2" spans="1:19" s="563" customFormat="1" ht="15.75" thickBot="1">
      <c r="A2" s="1172"/>
      <c r="B2" s="1172"/>
      <c r="C2" s="1195" t="s">
        <v>197</v>
      </c>
      <c r="D2" s="1196"/>
      <c r="E2" s="1196"/>
      <c r="F2" s="1196"/>
      <c r="G2" s="1197"/>
      <c r="H2" s="1198" t="s">
        <v>245</v>
      </c>
      <c r="I2" s="1184" t="s">
        <v>246</v>
      </c>
      <c r="J2" s="1184" t="s">
        <v>234</v>
      </c>
      <c r="K2" s="1184" t="s">
        <v>247</v>
      </c>
      <c r="L2" s="1186" t="s">
        <v>127</v>
      </c>
      <c r="M2" s="1162"/>
      <c r="N2" s="1161"/>
      <c r="O2" s="1162"/>
      <c r="Q2" s="1158"/>
      <c r="R2" s="1158"/>
      <c r="S2" s="1158"/>
    </row>
    <row r="3" spans="1:19" s="563" customFormat="1" ht="53.45" customHeight="1" thickBot="1">
      <c r="A3" s="1173"/>
      <c r="B3" s="1163"/>
      <c r="C3" s="564" t="s">
        <v>199</v>
      </c>
      <c r="D3" s="565" t="s">
        <v>200</v>
      </c>
      <c r="E3" s="566" t="s">
        <v>201</v>
      </c>
      <c r="F3" s="567" t="s">
        <v>203</v>
      </c>
      <c r="G3" s="568" t="s">
        <v>204</v>
      </c>
      <c r="H3" s="1181"/>
      <c r="I3" s="1185"/>
      <c r="J3" s="1185"/>
      <c r="K3" s="1185"/>
      <c r="L3" s="1194"/>
      <c r="M3" s="1164"/>
      <c r="N3" s="1163"/>
      <c r="O3" s="1164"/>
      <c r="Q3" s="1158"/>
      <c r="R3" s="1158"/>
      <c r="S3" s="1158"/>
    </row>
    <row r="4" spans="1:19" s="563" customFormat="1" ht="15.75" thickTop="1">
      <c r="A4" s="569" t="s">
        <v>249</v>
      </c>
      <c r="B4" s="570">
        <f>IF(ISERROR(kWh_wind_land),0,kWh_wind_land)</f>
        <v>0</v>
      </c>
      <c r="C4" s="1202"/>
      <c r="D4" s="1190"/>
      <c r="E4" s="1190"/>
      <c r="F4" s="1205"/>
      <c r="G4" s="1208"/>
      <c r="H4" s="1199"/>
      <c r="I4" s="1190"/>
      <c r="J4" s="1190"/>
      <c r="K4" s="571"/>
      <c r="L4" s="1191"/>
      <c r="M4" s="572"/>
      <c r="N4" s="1165"/>
      <c r="O4" s="1166"/>
      <c r="Q4" s="573"/>
      <c r="R4" s="1155"/>
      <c r="S4" s="1155"/>
    </row>
    <row r="5" spans="1:19" s="563" customFormat="1">
      <c r="A5" s="574" t="s">
        <v>250</v>
      </c>
      <c r="B5" s="570">
        <f>IF(ISERROR(kWh_waterkracht),0,kWh_waterkracht)</f>
        <v>0</v>
      </c>
      <c r="C5" s="1203"/>
      <c r="D5" s="1188"/>
      <c r="E5" s="1188"/>
      <c r="F5" s="1206"/>
      <c r="G5" s="1209"/>
      <c r="H5" s="1200"/>
      <c r="I5" s="1188"/>
      <c r="J5" s="1188"/>
      <c r="K5" s="1188"/>
      <c r="L5" s="1192"/>
      <c r="M5" s="575"/>
      <c r="N5" s="1167"/>
      <c r="O5" s="1168"/>
      <c r="Q5" s="573"/>
      <c r="R5" s="1155"/>
      <c r="S5" s="1155"/>
    </row>
    <row r="6" spans="1:19" s="563" customFormat="1">
      <c r="A6" s="574" t="s">
        <v>251</v>
      </c>
      <c r="B6" s="570">
        <f>IF(ISERROR((kWh_PV_kleiner_dan_10kW+kWh_PV_groter_dan_10kW)),0,(kWh_PV_kleiner_dan_10kW+kWh_PV_groter_dan_10kW))</f>
        <v>6561.8702423416144</v>
      </c>
      <c r="C6" s="1204"/>
      <c r="D6" s="1189"/>
      <c r="E6" s="1189"/>
      <c r="F6" s="1207"/>
      <c r="G6" s="1210"/>
      <c r="H6" s="1201"/>
      <c r="I6" s="1189"/>
      <c r="J6" s="1189"/>
      <c r="K6" s="1189"/>
      <c r="L6" s="1193"/>
      <c r="M6" s="575"/>
      <c r="N6" s="1167"/>
      <c r="O6" s="1168"/>
      <c r="Q6" s="573"/>
      <c r="R6" s="1155"/>
      <c r="S6" s="1155"/>
    </row>
    <row r="7" spans="1:19" s="563" customFormat="1">
      <c r="A7" s="576" t="s">
        <v>252</v>
      </c>
      <c r="B7" s="577">
        <f>N57</f>
        <v>0</v>
      </c>
      <c r="C7" s="578">
        <f>B100</f>
        <v>0</v>
      </c>
      <c r="D7" s="579"/>
      <c r="E7" s="579">
        <f>E100</f>
        <v>0</v>
      </c>
      <c r="F7" s="580"/>
      <c r="G7" s="581"/>
      <c r="H7" s="579">
        <f>I100</f>
        <v>0</v>
      </c>
      <c r="I7" s="579">
        <f>G100+F100</f>
        <v>0</v>
      </c>
      <c r="J7" s="579">
        <f>H100+D100+C100</f>
        <v>0</v>
      </c>
      <c r="K7" s="579"/>
      <c r="L7" s="582"/>
      <c r="M7" s="583">
        <f>C7*$C$11+D7*$D$11+E7*$E$11+F7*$F$11+G7*$G$11+H7*$H$11+I7*$I$11+J7*$J$11</f>
        <v>0</v>
      </c>
      <c r="N7" s="1167"/>
      <c r="O7" s="1168"/>
      <c r="Q7" s="573"/>
      <c r="R7" s="1155"/>
      <c r="S7" s="1155"/>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9"/>
      <c r="O8" s="1170"/>
      <c r="P8" s="591"/>
      <c r="Q8" s="573"/>
      <c r="R8" s="1155"/>
      <c r="S8" s="1155"/>
    </row>
    <row r="9" spans="1:19" s="563" customFormat="1" ht="16.5" thickTop="1" thickBot="1">
      <c r="A9" s="592" t="s">
        <v>116</v>
      </c>
      <c r="B9" s="593">
        <f>SUM(B4:B8)</f>
        <v>6561.8702423416144</v>
      </c>
      <c r="C9" s="594">
        <f t="shared" ref="C9:L9" si="0">SUM(C7:C8)</f>
        <v>0</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1" t="s">
        <v>253</v>
      </c>
      <c r="B13" s="1171" t="s">
        <v>254</v>
      </c>
      <c r="C13" s="1174" t="s">
        <v>255</v>
      </c>
      <c r="D13" s="1175"/>
      <c r="E13" s="1175"/>
      <c r="F13" s="1175"/>
      <c r="G13" s="1175"/>
      <c r="H13" s="1175"/>
      <c r="I13" s="1175"/>
      <c r="J13" s="1175"/>
      <c r="K13" s="1175"/>
      <c r="L13" s="1176"/>
      <c r="M13" s="1160" t="s">
        <v>244</v>
      </c>
      <c r="N13" s="1159" t="s">
        <v>256</v>
      </c>
      <c r="O13" s="1160"/>
      <c r="P13" s="1158"/>
      <c r="Q13" s="1158"/>
      <c r="R13" s="1158"/>
    </row>
    <row r="14" spans="1:19" s="563" customFormat="1" ht="15.75" thickBot="1">
      <c r="A14" s="1172"/>
      <c r="B14" s="1172"/>
      <c r="C14" s="1177" t="s">
        <v>197</v>
      </c>
      <c r="D14" s="1178"/>
      <c r="E14" s="1178"/>
      <c r="F14" s="1178"/>
      <c r="G14" s="1179"/>
      <c r="H14" s="1180" t="s">
        <v>245</v>
      </c>
      <c r="I14" s="1180" t="s">
        <v>246</v>
      </c>
      <c r="J14" s="1182" t="s">
        <v>234</v>
      </c>
      <c r="K14" s="1184" t="s">
        <v>257</v>
      </c>
      <c r="L14" s="1186" t="s">
        <v>127</v>
      </c>
      <c r="M14" s="1162"/>
      <c r="N14" s="1161"/>
      <c r="O14" s="1162"/>
      <c r="P14" s="1158"/>
      <c r="Q14" s="1158"/>
      <c r="R14" s="1158"/>
    </row>
    <row r="15" spans="1:19" s="563" customFormat="1" ht="40.700000000000003" customHeight="1" thickBot="1">
      <c r="A15" s="1173"/>
      <c r="B15" s="1173"/>
      <c r="C15" s="605" t="s">
        <v>199</v>
      </c>
      <c r="D15" s="565" t="s">
        <v>200</v>
      </c>
      <c r="E15" s="606" t="s">
        <v>201</v>
      </c>
      <c r="F15" s="565" t="s">
        <v>203</v>
      </c>
      <c r="G15" s="607" t="s">
        <v>204</v>
      </c>
      <c r="H15" s="1181"/>
      <c r="I15" s="1181"/>
      <c r="J15" s="1183"/>
      <c r="K15" s="1185"/>
      <c r="L15" s="1187"/>
      <c r="M15" s="1164"/>
      <c r="N15" s="1163"/>
      <c r="O15" s="1164"/>
      <c r="P15" s="1158"/>
      <c r="Q15" s="1158"/>
      <c r="R15" s="1158"/>
    </row>
    <row r="16" spans="1:19" s="563" customFormat="1" ht="15.75" thickTop="1">
      <c r="A16" s="608" t="s">
        <v>252</v>
      </c>
      <c r="B16" s="609">
        <f>O57</f>
        <v>0</v>
      </c>
      <c r="C16" s="610">
        <f>B101</f>
        <v>0</v>
      </c>
      <c r="D16" s="611"/>
      <c r="E16" s="611">
        <f>E101</f>
        <v>0</v>
      </c>
      <c r="F16" s="612"/>
      <c r="G16" s="613"/>
      <c r="H16" s="610">
        <f>I101</f>
        <v>0</v>
      </c>
      <c r="I16" s="611">
        <f>G101+F101</f>
        <v>0</v>
      </c>
      <c r="J16" s="611">
        <f>H101+D101+C101</f>
        <v>0</v>
      </c>
      <c r="K16" s="611"/>
      <c r="L16" s="614"/>
      <c r="M16" s="615">
        <f>C16*$C$21+E16*$E$21+H16*$H$21+I16*$I$21+J16*$J$21+D16*$D$21+F16*$F$21+G16*$G$21+K16*$K$21+L16*$L$21</f>
        <v>0</v>
      </c>
      <c r="N16" s="1150"/>
      <c r="O16" s="1151"/>
      <c r="P16" s="616"/>
      <c r="Q16" s="1152"/>
      <c r="R16" s="1152"/>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3"/>
      <c r="O17" s="1154"/>
      <c r="P17" s="573"/>
      <c r="Q17" s="1155"/>
      <c r="R17" s="1155"/>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6"/>
      <c r="O18" s="1157"/>
      <c r="P18" s="573"/>
      <c r="Q18" s="1155"/>
      <c r="R18" s="1155"/>
    </row>
    <row r="19" spans="1:26" s="563" customFormat="1" ht="16.5" thickTop="1" thickBot="1">
      <c r="A19" s="592" t="s">
        <v>116</v>
      </c>
      <c r="B19" s="593">
        <f>SUM(B16:B18)</f>
        <v>0</v>
      </c>
      <c r="C19" s="593">
        <f>SUM(C16:C18)</f>
        <v>0</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0</v>
      </c>
      <c r="N19" s="1147"/>
      <c r="O19" s="1148"/>
      <c r="P19" s="573"/>
      <c r="Q19" s="1149"/>
      <c r="R19" s="1149"/>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12.75">
      <c r="A27" s="624"/>
      <c r="B27" s="851"/>
      <c r="C27" s="851"/>
      <c r="D27" s="672"/>
      <c r="E27" s="671"/>
      <c r="F27" s="671"/>
      <c r="G27" s="671"/>
      <c r="H27" s="671"/>
      <c r="I27" s="671"/>
      <c r="J27" s="850"/>
      <c r="K27" s="850"/>
      <c r="L27" s="671"/>
      <c r="M27" s="671"/>
      <c r="N27" s="671"/>
      <c r="O27" s="671"/>
      <c r="P27" s="671"/>
      <c r="Q27" s="671"/>
      <c r="R27" s="671"/>
      <c r="S27" s="671"/>
      <c r="T27" s="671"/>
      <c r="U27" s="671"/>
      <c r="V27" s="671"/>
      <c r="W27" s="671"/>
      <c r="X27" s="671"/>
      <c r="Y27" s="671"/>
      <c r="Z27" s="673"/>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0</v>
      </c>
      <c r="N57" s="629">
        <f>SUM(N27:N56)</f>
        <v>0</v>
      </c>
      <c r="O57" s="629">
        <f t="shared" ref="O57:W57" si="2">SUM(O27:O56)</f>
        <v>0</v>
      </c>
      <c r="P57" s="629">
        <f t="shared" si="2"/>
        <v>0</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v>
      </c>
      <c r="C97" s="654">
        <f>IF(ISERROR(N57/(O57+N57)),0,N57/(N57+O57))</f>
        <v>0</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217</vt:i4>
      </vt:variant>
    </vt:vector>
  </HeadingPairs>
  <TitlesOfParts>
    <vt:vector size="250" baseType="lpstr">
      <vt:lpstr>LEGENDE</vt:lpstr>
      <vt:lpstr>OUTPUT--&gt;</vt:lpstr>
      <vt:lpstr>SEAP template</vt:lpstr>
      <vt:lpstr>Inventaris 2016</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2018-09-06T12:48:03Z</dcterms:modified>
</cp:coreProperties>
</file>