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<sst xmlns="http://schemas.openxmlformats.org/spreadsheetml/2006/main" count="1914" uniqueCount="809">
  <si>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</si>
  <si>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</si>
  <si>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</si>
  <si>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</si>
  <si>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</si>
  <si>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</si>
  <si>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</si>
  <si>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</si>
  <si>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</si>
  <si>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</si>
  <si>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</si>
  <si>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</si>
  <si>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</si>
  <si>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</si>
  <si>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</si>
  <si>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</si>
  <si>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</si>
  <si>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</si>
  <si>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</si>
  <si>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</si>
  <si>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</si>
  <si>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</si>
  <si>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</si>
  <si>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</si>
  <si>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</si>
  <si>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</si>
  <si>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</si>
  <si>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</si>
  <si>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</si>
  <si>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</si>
  <si>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</si>
  <si>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</si>
  <si>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</si>
  <si>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</si>
  <si>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</si>
  <si>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</si>
  <si>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</si>
  <si>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</si>
  <si>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</si>
  <si>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</si>
  <si>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</si>
  <si>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</si>
  <si>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</si>
  <si>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</si>
  <si>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</si>
  <si>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</si>
  <si>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</si>
  <si>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</si>
  <si>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</si>
  <si>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</si>
  <si>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</si>
  <si>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</si>
  <si>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</si>
  <si>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</si>
  <si>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</si>
  <si>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</si>
  <si>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</si>
  <si>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</si>
  <si>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</si>
  <si>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</si>
  <si>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</si>
  <si>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</si>
  <si>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</si>
  <si>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</si>
  <si>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</si>
  <si>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</si>
  <si>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</si>
  <si>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</si>
  <si>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</si>
  <si>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</si>
  <si>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</si>
  <si>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</si>
  <si>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</si>
  <si>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</si>
  <si>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</si>
  <si>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</si>
  <si>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</si>
  <si>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</si>
  <si>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</si>
  <si>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</si>
  <si>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</si>
  <si>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</si>
  <si>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</si>
  <si>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</si>
  <si>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</si>
  <si>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</si>
  <si>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</si>
  <si>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</si>
  <si>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</si>
  <si>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</si>
  <si>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</si>
  <si>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</si>
  <si>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</si>
  <si>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</si>
  <si>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</si>
  <si>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</si>
  <si>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</si>
  <si>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</si>
  <si>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</si>
  <si>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</si>
  <si>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</si>
  <si>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</si>
  <si>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</si>
  <si>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</si>
  <si>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</si>
  <si>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</si>
  <si>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</si>
  <si>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</si>
  <si>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</si>
  <si>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</si>
  <si>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</si>
  <si>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</si>
  <si>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</si>
  <si>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</si>
  <si>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</si>
  <si>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</si>
  <si>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</si>
  <si>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</si>
  <si>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</si>
  <si>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</si>
  <si>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</si>
  <si>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</si>
  <si>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</si>
  <si>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</si>
  <si>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</si>
  <si>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</si>
  <si>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</si>
  <si>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</si>
  <si>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</si>
  <si>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</si>
  <si>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</si>
  <si>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</si>
  <si>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</si>
  <si>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</si>
  <si>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</si>
  <si>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</si>
  <si>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</si>
  <si>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</si>
  <si>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</si>
  <si>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</si>
  <si>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</si>
  <si>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</si>
  <si>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</si>
  <si>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</si>
  <si>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</si>
  <si>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</si>
  <si>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</si>
  <si>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</si>
  <si>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</si>
  <si>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</si>
  <si>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</si>
  <si>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</si>
  <si>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</si>
  <si>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</si>
  <si>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</si>
  <si>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</si>
  <si>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</si>
  <si>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</si>
  <si>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</si>
  <si>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</si>
  <si>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</si>
  <si>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</si>
  <si>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</si>
  <si>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</si>
  <si>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</si>
  <si>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</si>
  <si>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</si>
  <si>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</si>
  <si>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</si>
  <si>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</si>
  <si>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</si>
  <si>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</si>
  <si>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</si>
  <si>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</si>
  <si>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</si>
  <si>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</si>
  <si>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</si>
  <si>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</si>
  <si>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</si>
  <si>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</si>
  <si>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</si>
  <si>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</si>
  <si>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</si>
  <si>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</si>
  <si>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</si>
  <si>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</si>
  <si>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</si>
  <si>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</si>
  <si>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</si>
  <si>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</si>
  <si>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</si>
  <si>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</si>
  <si>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</si>
  <si>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</si>
  <si>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</si>
  <si>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</si>
  <si>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</si>
  <si>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</si>
  <si>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</si>
  <si>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</si>
  <si>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</si>
  <si>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</si>
  <si>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</si>
  <si>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</si>
  <si>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</si>
  <si>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</si>
  <si>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</si>
  <si>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</si>
  <si>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</si>
  <si>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</si>
  <si>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</si>
  <si>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</si>
  <si>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</si>
  <si>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</si>
  <si>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</si>
  <si>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</si>
  <si>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</si>
  <si>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</si>
  <si>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</si>
  <si>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</si>
  <si>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</si>
  <si>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</si>
  <si>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</si>
  <si>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</si>
  <si>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</si>
  <si>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</si>
  <si>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</si>
  <si>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</si>
  <si>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</si>
  <si>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</si>
  <si>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</si>
  <si>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</si>
  <si>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</si>
  <si>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</si>
  <si>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</si>
  <si>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</si>
  <si>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</si>
  <si>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</si>
  <si>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</si>
  <si>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</si>
  <si>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</si>
  <si>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</si>
  <si>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</si>
  <si>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</si>
  <si>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</si>
  <si>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</si>
  <si>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</si>
  <si>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</si>
  <si>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</si>
  <si>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</si>
  <si>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</si>
  <si>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</si>
  <si>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</si>
  <si>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</si>
  <si>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</si>
  <si>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</si>
  <si>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</si>
  <si>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</si>
  <si>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</si>
  <si>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</si>
  <si>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</si>
  <si>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</si>
  <si>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</si>
  <si>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</si>
  <si>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</si>
  <si>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</si>
  <si>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</si>
  <si>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</si>
  <si>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</si>
  <si>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</si>
  <si>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</si>
  <si>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</si>
  <si>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</si>
  <si>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</si>
  <si>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</si>
  <si>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</si>
  <si>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</si>
  <si>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</si>
  <si>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</si>
  <si>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</si>
  <si>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</si>
  <si>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</si>
  <si>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</si>
  <si>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</si>
  <si>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</si>
  <si>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</si>
  <si>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</si>
  <si>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</si>
  <si>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</si>
  <si>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</si>
  <si>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</si>
  <si>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</si>
  <si>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</si>
  <si>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</si>
  <si>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</si>
  <si>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</si>
  <si>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</si>
  <si>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</si>
  <si>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</si>
  <si>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</si>
  <si>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</si>
  <si>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</si>
  <si>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</si>
  <si>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</si>
  <si>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</si>
  <si>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</si>
  <si>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</si>
  <si>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</si>
  <si>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</si>
  <si>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</si>
  <si>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</si>
  <si>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</si>
  <si>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</si>
  <si>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</si>
  <si>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</si>
  <si>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</si>
  <si>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</si>
  <si>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</si>
  <si>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</si>
  <si>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</si>
  <si>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</si>
  <si>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</si>
  <si>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</si>
  <si>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</si>
  <si>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</si>
  <si>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</si>
  <si>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</si>
  <si>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</si>
  <si>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</si>
  <si>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</si>
  <si>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</si>
  <si>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</si>
  <si>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</si>
  <si>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</si>
  <si>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</si>
  <si>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</si>
  <si>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</si>
  <si>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</si>
  <si>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</si>
  <si>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</si>
  <si>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</si>
  <si>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</si>
  <si>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</si>
  <si>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</si>
  <si>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</si>
  <si>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</si>
  <si>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</si>
  <si>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</si>
  <si>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</si>
  <si>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</si>
  <si>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</si>
  <si>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</si>
  <si>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</si>
  <si>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</si>
  <si>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</si>
  <si>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</si>
  <si>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</si>
  <si>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</si>
  <si>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</si>
  <si>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</si>
  <si>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</si>
  <si>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</si>
  <si>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</si>
  <si>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</si>
  <si>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</si>
  <si>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</si>
  <si>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</si>
  <si>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</si>
  <si>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</si>
  <si>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</si>
  <si>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</si>
  <si>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</si>
  <si>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</si>
  <si>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</si>
  <si>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</si>
  <si>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</si>
  <si>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</si>
  <si>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</si>
  <si>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</si>
  <si>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</si>
  <si>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</si>
  <si>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</si>
  <si>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</si>
  <si>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</si>
  <si>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</si>
  <si>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</si>
  <si>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</si>
  <si>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</si>
  <si>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</si>
  <si>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</si>
  <si>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</si>
  <si>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</si>
  <si>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</si>
  <si>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</si>
  <si>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</si>
  <si>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</si>
  <si>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</si>
  <si>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</si>
  <si>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</si>
  <si>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</si>
  <si>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</si>
  <si>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</si>
  <si>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</si>
  <si>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</si>
  <si>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</si>
  <si>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</si>
  <si>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</si>
  <si>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</si>
  <si>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</si>
  <si>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</si>
  <si>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</si>
  <si>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</si>
  <si>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</si>
  <si>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</si>
  <si>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</si>
  <si>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</si>
  <si>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</si>
  <si>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</si>
  <si>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</si>
  <si>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</si>
  <si>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</si>
  <si>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</si>
  <si>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</si>
  <si>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</si>
  <si>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</si>
  <si>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</si>
  <si>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</si>
  <si>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</si>
  <si>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</si>
  <si>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</si>
  <si>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</si>
  <si>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</si>
  <si>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</si>
  <si>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</si>
  <si>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</si>
  <si>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</si>
  <si>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</si>
  <si>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</si>
  <si>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</si>
  <si>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</si>
  <si>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</si>
  <si>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</si>
  <si>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</si>
  <si>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</si>
  <si>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</si>
  <si>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</si>
  <si>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</si>
  <si>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</si>
  <si>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</si>
  <si>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</si>
  <si>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</si>
  <si>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</si>
  <si>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</si>
  <si>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</si>
  <si>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</si>
  <si>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</si>
  <si>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</si>
  <si>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</si>
  <si>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</si>
  <si>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</si>
  <si>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</si>
  <si>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</si>
  <si>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</si>
  <si>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</si>
  <si>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</si>
  <si>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</si>
  <si>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</si>
  <si>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</si>
  <si>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</si>
  <si>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</si>
  <si>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</si>
  <si>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</si>
  <si>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</si>
  <si>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</si>
  <si>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</si>
  <si>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</si>
  <si>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</si>
  <si>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</si>
  <si>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</si>
  <si>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</si>
  <si>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</si>
  <si>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</si>
  <si>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</si>
  <si>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</si>
  <si>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</si>
  <si>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</si>
  <si>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</si>
  <si>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</si>
  <si>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</si>
  <si>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</si>
  <si>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</si>
  <si>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</si>
  <si>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</si>
  <si>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</si>
  <si>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</si>
  <si>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</si>
  <si>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</si>
  <si>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</si>
  <si>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</si>
  <si>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</si>
  <si>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</si>
  <si>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</si>
  <si>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</si>
  <si>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</si>
  <si>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</si>
  <si>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</si>
  <si>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</si>
  <si>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</si>
  <si>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</si>
  <si>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</si>
  <si>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</si>
  <si>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</si>
  <si>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</si>
  <si>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</si>
  <si>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</si>
  <si>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</si>
  <si>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</si>
  <si>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</si>
  <si>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</si>
  <si>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</si>
  <si>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</si>
  <si>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</si>
  <si>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</si>
  <si>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</si>
  <si>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</si>
  <si>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</si>
  <si>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</si>
  <si>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</si>
  <si>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</si>
  <si>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</si>
  <si>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</si>
  <si>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</si>
  <si>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</si>
  <si>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</si>
  <si>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</si>
  <si>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</si>
  <si>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</si>
  <si>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</si>
  <si>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</si>
  <si>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</si>
  <si>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</si>
  <si>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</si>
  <si>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</si>
  <si>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</si>
  <si>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</si>
  <si>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</si>
  <si>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</si>
  <si>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</si>
  <si>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</si>
  <si>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</si>
  <si>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</si>
  <si>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</si>
  <si>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</si>
  <si>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</si>
  <si>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</si>
  <si>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</si>
  <si>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</si>
  <si>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</si>
  <si>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</si>
  <si>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</si>
  <si>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</si>
  <si>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</si>
  <si>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</si>
  <si>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</si>
  <si>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</si>
  <si>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</si>
  <si>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</si>
  <si>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</si>
  <si>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</si>
  <si>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</si>
  <si>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</si>
  <si>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</si>
  <si>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</si>
  <si>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</si>
  <si>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</si>
  <si>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</si>
  <si>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</si>
  <si>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</si>
  <si>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</si>
  <si>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</si>
  <si>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</si>
  <si>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</si>
  <si>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</si>
  <si>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</si>
  <si>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</si>
  <si>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</si>
  <si>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</si>
  <si>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</si>
  <si>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</si>
  <si>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</si>
  <si>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</si>
  <si>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</si>
  <si>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</si>
  <si>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</si>
  <si>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</si>
  <si>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</si>
  <si>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</si>
  <si>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</si>
  <si>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</si>
  <si>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</si>
  <si>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</si>
  <si>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</si>
  <si>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</si>
  <si>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</si>
  <si>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</si>
  <si>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</si>
  <si>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</si>
  <si>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</si>
  <si>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</si>
  <si>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</si>
  <si>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</si>
  <si>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</si>
  <si>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</si>
  <si>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</si>
  <si>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</si>
  <si>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</si>
  <si>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</si>
  <si>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</si>
  <si>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</si>
  <si>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</si>
  <si>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</si>
  <si>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</si>
  <si>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</si>
  <si>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</si>
  <si>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</si>
  <si>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</si>
  <si>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</si>
  <si>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</si>
  <si>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</si>
  <si>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</si>
  <si>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</si>
  <si>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</si>
  <si>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</si>
  <si>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</si>
  <si>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</si>
  <si>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</si>
  <si>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</si>
  <si>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</si>
  <si>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</si>
  <si>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</si>
  <si>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</si>
  <si>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</si>
  <si>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</si>
  <si>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</si>
  <si>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</si>
  <si>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</si>
  <si>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</si>
  <si>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</si>
  <si>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</si>
  <si>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</si>
  <si>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</si>
  <si>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</si>
  <si>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</si>
  <si>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</si>
  <si>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</si>
  <si>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</si>
  <si>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</si>
  <si>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</si>
  <si>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</si>
  <si>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</si>
  <si>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</si>
  <si>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</si>
  <si>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</si>
  <si>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</si>
  <si>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</si>
  <si>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</si>
  <si>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</si>
  <si>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</si>
  <si>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</si>
  <si>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</si>
  <si>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</si>
  <si>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</si>
  <si>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</si>
  <si>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</si>
  <si>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</si>
  <si>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</si>
  <si>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</si>
  <si>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</si>
  <si>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</si>
  <si>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</si>
  <si>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</si>
  <si>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</si>
  <si>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</si>
  <si>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</si>
  <si>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</si>
  <si>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</si>
  <si>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</si>
  <si>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</si>
  <si>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</si>
  <si>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</si>
  <si>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</si>
  <si>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</si>
  <si>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</si>
  <si>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</si>
  <si>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</si>
  <si>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</si>
  <si>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</si>
  <si>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</si>
  <si>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</si>
  <si>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</si>
  <si>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</si>
  <si>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</si>
  <si>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</si>
  <si>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</si>
  <si>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</si>
  <si>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</si>
  <si>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</si>
  <si>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</si>
  <si>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</si>
  <si>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</si>
  <si>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</si>
  <si>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</si>
  <si>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</si>
  <si>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</si>
  <si>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</si>
  <si>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</si>
  <si>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</si>
  <si>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</si>
  <si>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</si>
  <si>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</si>
  <si>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</si>
  <si>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</si>
  <si>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</si>
  <si>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</si>
  <si>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</si>
  <si>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</si>
  <si>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</si>
  <si>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</si>
  <si>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</si>
  <si>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</si>
  <si>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</si>
  <si>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</si>
  <si>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</si>
  <si>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</si>
  <si>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</si>
  <si>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</si>
  <si>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</si>
  <si>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</si>
  <si>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</si>
  <si>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</si>
  <si>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</si>
  <si>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</si>
  <si>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</si>
  <si>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</si>
  <si>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</si>
  <si>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</si>
  <si>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</si>
  <si>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</si>
  <si>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</si>
  <si>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</si>
  <si>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</si>
  <si>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</si>
  <si>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</si>
  <si>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</si>
  <si>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</si>
  <si>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</si>
  <si>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</si>
  <si>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</si>
  <si>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</si>
  <si>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</si>
  <si>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</si>
  <si>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</si>
  <si>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</si>
  <si>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</si>
  <si>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</si>
  <si>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</si>
  <si>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</si>
  <si>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</si>
  <si>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</si>
  <si>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</si>
  <si>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</si>
  <si>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</si>
  <si>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</si>
  <si>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</si>
  <si>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</si>
  <si>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</si>
  <si>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</si>
  <si>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</si>
  <si>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</si>
  <si>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</si>
  <si>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</si>
  <si>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</si>
  <si>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</si>
  <si>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</si>
  <si>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</si>
  <si>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</si>
  <si>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</si>
  <si>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</si>
  <si>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</si>
  <si>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</si>
  <si>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</si>
  <si>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</si>
  <si>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</si>
  <si>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</si>
  <si>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</si>
  <si>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</si>
  <si>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</si>
  <si>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</si>
  <si>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</si>
  <si>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</si>
  <si>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</si>
  <si>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37007</t>
  </si>
  <si>
    <t>MEULEBEKE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</si>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</sst>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95515.288396188625</c:v>
                </c:pt>
                <c:pt idx="1">
                  <c:v>34030.860924812834</c:v>
                </c:pt>
                <c:pt idx="2">
                  <c:v>537.63199999999995</c:v>
                </c:pt>
                <c:pt idx="3">
                  <c:v>20961.398526820714</c:v>
                </c:pt>
                <c:pt idx="4">
                  <c:v>49884.027924022768</c:v>
                </c:pt>
                <c:pt idx="5">
                  <c:v>44816.032873934993</c:v>
                </c:pt>
                <c:pt idx="6">
                  <c:v>403.47872134261354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95515.288396188625</c:v>
                </c:pt>
                <c:pt idx="1">
                  <c:v>34030.860924812834</c:v>
                </c:pt>
                <c:pt idx="2">
                  <c:v>537.63199999999995</c:v>
                </c:pt>
                <c:pt idx="3">
                  <c:v>20961.398526820714</c:v>
                </c:pt>
                <c:pt idx="4">
                  <c:v>49884.027924022768</c:v>
                </c:pt>
                <c:pt idx="5">
                  <c:v>44816.032873934993</c:v>
                </c:pt>
                <c:pt idx="6">
                  <c:v>403.47872134261354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18139.182114816151</c:v>
                </c:pt>
                <c:pt idx="1">
                  <c:v>6248.5809941661919</c:v>
                </c:pt>
                <c:pt idx="2">
                  <c:v>103.07950692061081</c:v>
                </c:pt>
                <c:pt idx="3">
                  <c:v>5298.0442050806796</c:v>
                </c:pt>
                <c:pt idx="4">
                  <c:v>9616.0548099810239</c:v>
                </c:pt>
                <c:pt idx="5">
                  <c:v>11219.371532593221</c:v>
                </c:pt>
                <c:pt idx="6">
                  <c:v>101.93912624577708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18139.182114816151</c:v>
                </c:pt>
                <c:pt idx="1">
                  <c:v>6248.5809941661919</c:v>
                </c:pt>
                <c:pt idx="2">
                  <c:v>103.07950692061081</c:v>
                </c:pt>
                <c:pt idx="3">
                  <c:v>5298.0442050806796</c:v>
                </c:pt>
                <c:pt idx="4">
                  <c:v>9616.0548099810239</c:v>
                </c:pt>
                <c:pt idx="5">
                  <c:v>11219.371532593221</c:v>
                </c:pt>
                <c:pt idx="6">
                  <c:v>101.93912624577708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37007</v>
      </c>
      <c r="B6" s="415"/>
      <c r="C6" s="416"/>
    </row>
    <row r="7" spans="1:7" s="413" customFormat="1" ht="15.75" customHeight="1">
      <c r="A7" s="417" t="str">
        <f>txtMunicipality</f>
        <v>MEULEBEKE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4608</v>
      </c>
      <c r="C9" s="342">
        <v>4782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1929.35</v>
      </c>
    </row>
    <row r="15" spans="1:6">
      <c r="A15" s="348" t="s">
        <v>184</v>
      </c>
      <c r="B15" s="334">
        <v>15</v>
      </c>
    </row>
    <row r="16" spans="1:6">
      <c r="A16" s="348" t="s">
        <v>6</v>
      </c>
      <c r="B16" s="334">
        <v>341</v>
      </c>
    </row>
    <row r="17" spans="1:6">
      <c r="A17" s="348" t="s">
        <v>7</v>
      </c>
      <c r="B17" s="334">
        <v>878</v>
      </c>
    </row>
    <row r="18" spans="1:6">
      <c r="A18" s="348" t="s">
        <v>8</v>
      </c>
      <c r="B18" s="334">
        <v>861</v>
      </c>
    </row>
    <row r="19" spans="1:6">
      <c r="A19" s="348" t="s">
        <v>9</v>
      </c>
      <c r="B19" s="334">
        <v>822</v>
      </c>
    </row>
    <row r="20" spans="1:6">
      <c r="A20" s="348" t="s">
        <v>10</v>
      </c>
      <c r="B20" s="334">
        <v>568</v>
      </c>
    </row>
    <row r="21" spans="1:6">
      <c r="A21" s="348" t="s">
        <v>11</v>
      </c>
      <c r="B21" s="334">
        <v>9214</v>
      </c>
    </row>
    <row r="22" spans="1:6">
      <c r="A22" s="348" t="s">
        <v>12</v>
      </c>
      <c r="B22" s="334">
        <v>38535</v>
      </c>
    </row>
    <row r="23" spans="1:6">
      <c r="A23" s="348" t="s">
        <v>13</v>
      </c>
      <c r="B23" s="334">
        <v>350</v>
      </c>
    </row>
    <row r="24" spans="1:6">
      <c r="A24" s="348" t="s">
        <v>14</v>
      </c>
      <c r="B24" s="334">
        <v>11</v>
      </c>
    </row>
    <row r="25" spans="1:6">
      <c r="A25" s="348" t="s">
        <v>15</v>
      </c>
      <c r="B25" s="334">
        <v>1971</v>
      </c>
    </row>
    <row r="26" spans="1:6">
      <c r="A26" s="348" t="s">
        <v>16</v>
      </c>
      <c r="B26" s="334">
        <v>49</v>
      </c>
    </row>
    <row r="27" spans="1:6">
      <c r="A27" s="348" t="s">
        <v>17</v>
      </c>
      <c r="B27" s="334">
        <v>6</v>
      </c>
    </row>
    <row r="28" spans="1:6" s="356" customFormat="1">
      <c r="A28" s="355" t="s">
        <v>18</v>
      </c>
      <c r="B28" s="355">
        <v>119997</v>
      </c>
    </row>
    <row r="29" spans="1:6">
      <c r="A29" s="355" t="s">
        <v>744</v>
      </c>
      <c r="B29" s="355">
        <v>43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11846912.999553099</v>
      </c>
    </row>
    <row r="39" spans="1:6">
      <c r="A39" s="348" t="s">
        <v>30</v>
      </c>
      <c r="B39" s="348" t="s">
        <v>31</v>
      </c>
      <c r="C39" s="334">
        <v>2731</v>
      </c>
      <c r="D39" s="334">
        <v>41625383.419470198</v>
      </c>
      <c r="E39" s="334">
        <v>4189</v>
      </c>
      <c r="F39" s="334">
        <v>15490750.5880206</v>
      </c>
    </row>
    <row r="40" spans="1:6">
      <c r="A40" s="348" t="s">
        <v>30</v>
      </c>
      <c r="B40" s="348" t="s">
        <v>29</v>
      </c>
      <c r="C40" s="334">
        <v>0</v>
      </c>
      <c r="D40" s="334">
        <v>0</v>
      </c>
      <c r="E40" s="334">
        <v>0</v>
      </c>
      <c r="F40" s="334">
        <v>0</v>
      </c>
    </row>
    <row r="41" spans="1:6">
      <c r="A41" s="348" t="s">
        <v>32</v>
      </c>
      <c r="B41" s="348" t="s">
        <v>33</v>
      </c>
      <c r="C41" s="334">
        <v>66</v>
      </c>
      <c r="D41" s="334">
        <v>1468538.6452045001</v>
      </c>
      <c r="E41" s="334">
        <v>176</v>
      </c>
      <c r="F41" s="334">
        <v>2130203.7181106098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149168.870100075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37067.405010105198</v>
      </c>
      <c r="E47" s="334">
        <v>6</v>
      </c>
      <c r="F47" s="334">
        <v>30305.975515573002</v>
      </c>
    </row>
    <row r="48" spans="1:6">
      <c r="A48" s="348" t="s">
        <v>32</v>
      </c>
      <c r="B48" s="348" t="s">
        <v>29</v>
      </c>
      <c r="C48" s="334">
        <v>40</v>
      </c>
      <c r="D48" s="334">
        <v>30404331.040787</v>
      </c>
      <c r="E48" s="334">
        <v>46</v>
      </c>
      <c r="F48" s="334">
        <v>9510396.6096503492</v>
      </c>
    </row>
    <row r="49" spans="1:6">
      <c r="A49" s="348" t="s">
        <v>32</v>
      </c>
      <c r="B49" s="348" t="s">
        <v>40</v>
      </c>
      <c r="C49" s="334">
        <v>0</v>
      </c>
      <c r="D49" s="334">
        <v>0</v>
      </c>
      <c r="E49" s="334">
        <v>7</v>
      </c>
      <c r="F49" s="334">
        <v>284271.92419262102</v>
      </c>
    </row>
    <row r="50" spans="1:6">
      <c r="A50" s="348" t="s">
        <v>32</v>
      </c>
      <c r="B50" s="348" t="s">
        <v>41</v>
      </c>
      <c r="C50" s="334">
        <v>10</v>
      </c>
      <c r="D50" s="334">
        <v>601272.12158221204</v>
      </c>
      <c r="E50" s="334">
        <v>19</v>
      </c>
      <c r="F50" s="334">
        <v>606677.23998223501</v>
      </c>
    </row>
    <row r="51" spans="1:6">
      <c r="A51" s="348" t="s">
        <v>42</v>
      </c>
      <c r="B51" s="348" t="s">
        <v>43</v>
      </c>
      <c r="C51" s="334">
        <v>7</v>
      </c>
      <c r="D51" s="334">
        <v>138339.115706593</v>
      </c>
      <c r="E51" s="334">
        <v>142</v>
      </c>
      <c r="F51" s="334">
        <v>3607704.2950748201</v>
      </c>
    </row>
    <row r="52" spans="1:6">
      <c r="A52" s="348" t="s">
        <v>42</v>
      </c>
      <c r="B52" s="348" t="s">
        <v>29</v>
      </c>
      <c r="C52" s="334">
        <v>1</v>
      </c>
      <c r="D52" s="334">
        <v>262.35799070119998</v>
      </c>
      <c r="E52" s="334">
        <v>4</v>
      </c>
      <c r="F52" s="334">
        <v>147849.50735040699</v>
      </c>
    </row>
    <row r="53" spans="1:6">
      <c r="A53" s="348" t="s">
        <v>44</v>
      </c>
      <c r="B53" s="348" t="s">
        <v>45</v>
      </c>
      <c r="C53" s="334">
        <v>60</v>
      </c>
      <c r="D53" s="334">
        <v>865749.11543661496</v>
      </c>
      <c r="E53" s="334">
        <v>128</v>
      </c>
      <c r="F53" s="334">
        <v>432295.47299843701</v>
      </c>
    </row>
    <row r="54" spans="1:6">
      <c r="A54" s="348" t="s">
        <v>46</v>
      </c>
      <c r="B54" s="348" t="s">
        <v>47</v>
      </c>
      <c r="C54" s="334">
        <v>0</v>
      </c>
      <c r="D54" s="334">
        <v>0</v>
      </c>
      <c r="E54" s="334">
        <v>1</v>
      </c>
      <c r="F54" s="334">
        <v>537632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370353.14890742197</v>
      </c>
      <c r="E57" s="334">
        <v>67</v>
      </c>
      <c r="F57" s="334">
        <v>3438487.4319422399</v>
      </c>
    </row>
    <row r="58" spans="1:6">
      <c r="A58" s="348" t="s">
        <v>49</v>
      </c>
      <c r="B58" s="348" t="s">
        <v>51</v>
      </c>
      <c r="C58" s="334">
        <v>12</v>
      </c>
      <c r="D58" s="334">
        <v>321010.68070673803</v>
      </c>
      <c r="E58" s="334">
        <v>23</v>
      </c>
      <c r="F58" s="334">
        <v>176797.00541141501</v>
      </c>
    </row>
    <row r="59" spans="1:6">
      <c r="A59" s="348" t="s">
        <v>49</v>
      </c>
      <c r="B59" s="348" t="s">
        <v>52</v>
      </c>
      <c r="C59" s="334">
        <v>57</v>
      </c>
      <c r="D59" s="334">
        <v>1678621.18751984</v>
      </c>
      <c r="E59" s="334">
        <v>149</v>
      </c>
      <c r="F59" s="334">
        <v>3666704.1556061199</v>
      </c>
    </row>
    <row r="60" spans="1:6">
      <c r="A60" s="348" t="s">
        <v>49</v>
      </c>
      <c r="B60" s="348" t="s">
        <v>53</v>
      </c>
      <c r="C60" s="334">
        <v>28</v>
      </c>
      <c r="D60" s="334">
        <v>878106.87648582901</v>
      </c>
      <c r="E60" s="334">
        <v>52</v>
      </c>
      <c r="F60" s="334">
        <v>856356.44598816405</v>
      </c>
    </row>
    <row r="61" spans="1:6">
      <c r="A61" s="348" t="s">
        <v>49</v>
      </c>
      <c r="B61" s="348" t="s">
        <v>54</v>
      </c>
      <c r="C61" s="334">
        <v>58</v>
      </c>
      <c r="D61" s="334">
        <v>5453402.5240430897</v>
      </c>
      <c r="E61" s="334">
        <v>164</v>
      </c>
      <c r="F61" s="334">
        <v>2107136.7478172602</v>
      </c>
    </row>
    <row r="62" spans="1:6">
      <c r="A62" s="348" t="s">
        <v>49</v>
      </c>
      <c r="B62" s="348" t="s">
        <v>55</v>
      </c>
      <c r="C62" s="334">
        <v>7</v>
      </c>
      <c r="D62" s="334">
        <v>655576.54227961495</v>
      </c>
      <c r="E62" s="334">
        <v>9</v>
      </c>
      <c r="F62" s="334">
        <v>118787.819173768</v>
      </c>
    </row>
    <row r="63" spans="1:6">
      <c r="A63" s="348" t="s">
        <v>49</v>
      </c>
      <c r="B63" s="348" t="s">
        <v>29</v>
      </c>
      <c r="C63" s="334">
        <v>90</v>
      </c>
      <c r="D63" s="334">
        <v>6017112.4256458702</v>
      </c>
      <c r="E63" s="334">
        <v>78</v>
      </c>
      <c r="F63" s="334">
        <v>3618439.85211671</v>
      </c>
    </row>
    <row r="64" spans="1:6">
      <c r="A64" s="348" t="s">
        <v>56</v>
      </c>
      <c r="B64" s="348" t="s">
        <v>57</v>
      </c>
      <c r="C64" s="334">
        <v>0</v>
      </c>
      <c r="D64" s="334">
        <v>0</v>
      </c>
      <c r="E64" s="334">
        <v>0</v>
      </c>
      <c r="F64" s="334">
        <v>0</v>
      </c>
    </row>
    <row r="65" spans="1:6">
      <c r="A65" s="348" t="s">
        <v>56</v>
      </c>
      <c r="B65" s="348" t="s">
        <v>29</v>
      </c>
      <c r="C65" s="334">
        <v>0</v>
      </c>
      <c r="D65" s="334">
        <v>0</v>
      </c>
      <c r="E65" s="334">
        <v>3</v>
      </c>
      <c r="F65" s="334">
        <v>11289.357782905799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152450.55521735799</v>
      </c>
      <c r="E68" s="334">
        <v>15</v>
      </c>
      <c r="F68" s="334">
        <v>162726.10306596101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25033669</v>
      </c>
      <c r="E73" s="476">
        <v>21198987.585584331</v>
      </c>
    </row>
    <row r="74" spans="1:6">
      <c r="A74" s="348" t="s">
        <v>64</v>
      </c>
      <c r="B74" s="348" t="s">
        <v>657</v>
      </c>
      <c r="C74" s="1213" t="s">
        <v>659</v>
      </c>
      <c r="D74" s="476">
        <v>2859675.9137653005</v>
      </c>
      <c r="E74" s="476">
        <v>2415558.6118514398</v>
      </c>
    </row>
    <row r="75" spans="1:6">
      <c r="A75" s="348" t="s">
        <v>65</v>
      </c>
      <c r="B75" s="348" t="s">
        <v>656</v>
      </c>
      <c r="C75" s="1213" t="s">
        <v>660</v>
      </c>
      <c r="D75" s="476">
        <v>17384955</v>
      </c>
      <c r="E75" s="476">
        <v>14768743.286150454</v>
      </c>
    </row>
    <row r="76" spans="1:6">
      <c r="A76" s="348" t="s">
        <v>65</v>
      </c>
      <c r="B76" s="348" t="s">
        <v>657</v>
      </c>
      <c r="C76" s="1213" t="s">
        <v>661</v>
      </c>
      <c r="D76" s="476">
        <v>1789757.9137653005</v>
      </c>
      <c r="E76" s="476">
        <v>1555160.1359437404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109430.17246939875</v>
      </c>
      <c r="C83" s="476">
        <v>109338.58690011784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3048.2110266351806</v>
      </c>
    </row>
    <row r="92" spans="1:6">
      <c r="A92" s="341" t="s">
        <v>69</v>
      </c>
      <c r="B92" s="342">
        <v>3513.6592157064342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49542.568839922606</v>
      </c>
      <c r="C3" s="43" t="s">
        <v>170</v>
      </c>
      <c r="D3" s="43"/>
      <c r="E3" s="154"/>
      <c r="F3" s="43"/>
      <c r="G3" s="43"/>
      <c r="H3" s="43"/>
      <c r="I3" s="43"/>
      <c r="J3" s="43"/>
      <c r="K3" s="96"/>
    </row>
    <row r="4" spans="1:11">
      <c r="A4" s="383" t="s">
        <v>171</v>
      </c>
      <c r="B4" s="49">
        <f>IF(ISERROR('SEAP template'!B69),0,'SEAP template'!B69)</f>
        <v>6561.8702423416144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0.19172874181709948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537.63199999999995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0.19172874181709948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103.07950692061081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15490.750588020601</v>
      </c>
      <c r="C5" s="17">
        <f>IF(ISERROR('Eigen informatie GS &amp; warmtenet'!B57),0,'Eigen informatie GS &amp; warmtenet'!B57)</f>
        <v>0</v>
      </c>
      <c r="D5" s="30">
        <f>(SUM(HH_hh_gas_kWh,HH_rest_gas_kWh)/1000)*0.902</f>
        <v>37546.09584436212</v>
      </c>
      <c r="E5" s="17">
        <f>B46*B57</f>
        <v>5044.3397240610684</v>
      </c>
      <c r="F5" s="17">
        <f>B51*B62</f>
        <v>19139.210314056323</v>
      </c>
      <c r="G5" s="18"/>
      <c r="H5" s="17"/>
      <c r="I5" s="17"/>
      <c r="J5" s="17">
        <f>B50*B61+C50*C61</f>
        <v>2105.0415199622776</v>
      </c>
      <c r="K5" s="17"/>
      <c r="L5" s="17"/>
      <c r="M5" s="17"/>
      <c r="N5" s="17">
        <f>B48*B59+C48*C59</f>
        <v>12674.59937909104</v>
      </c>
      <c r="O5" s="17">
        <f>B69*B70*B71</f>
        <v>200.10666666666668</v>
      </c>
      <c r="P5" s="17">
        <f>B77*B78*B79/1000-B77*B78*B79/1000/B80</f>
        <v>266.93333333333334</v>
      </c>
    </row>
    <row r="6" spans="1:16">
      <c r="A6" s="16" t="s">
        <v>621</v>
      </c>
      <c r="B6" s="843">
        <f>kWh_PV_kleiner_dan_10kW</f>
        <v>3048.2110266351806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18538.961614655782</v>
      </c>
      <c r="C8" s="21">
        <f>C5</f>
        <v>0</v>
      </c>
      <c r="D8" s="21">
        <f>D5</f>
        <v>37546.09584436212</v>
      </c>
      <c r="E8" s="21">
        <f>E5</f>
        <v>5044.3397240610684</v>
      </c>
      <c r="F8" s="21">
        <f>F5</f>
        <v>19139.210314056323</v>
      </c>
      <c r="G8" s="21"/>
      <c r="H8" s="21"/>
      <c r="I8" s="21"/>
      <c r="J8" s="21">
        <f>J5</f>
        <v>2105.0415199622776</v>
      </c>
      <c r="K8" s="21"/>
      <c r="L8" s="21">
        <f>L5</f>
        <v>0</v>
      </c>
      <c r="M8" s="21">
        <f>M5</f>
        <v>0</v>
      </c>
      <c r="N8" s="21">
        <f>N5</f>
        <v>12674.59937909104</v>
      </c>
      <c r="O8" s="21">
        <f>O5</f>
        <v>200.10666666666668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0.19172874181709948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3554.4517849734561</v>
      </c>
      <c r="C12" s="23">
        <f ca="1">C10*C8</f>
        <v>0</v>
      </c>
      <c r="D12" s="23">
        <f>D8*D10</f>
        <v>7584.3113605611488</v>
      </c>
      <c r="E12" s="23">
        <f>E10*E8</f>
        <v>1145.0651173618626</v>
      </c>
      <c r="F12" s="23">
        <f>F10*F8</f>
        <v>5110.1691538530386</v>
      </c>
      <c r="G12" s="23"/>
      <c r="H12" s="23"/>
      <c r="I12" s="23"/>
      <c r="J12" s="23">
        <f>J10*J8</f>
        <v>745.18469806664621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4608</v>
      </c>
      <c r="C28" s="36"/>
      <c r="D28" s="228"/>
    </row>
    <row r="29" spans="1:7" s="15" customFormat="1">
      <c r="A29" s="230" t="s">
        <v>795</v>
      </c>
      <c r="B29" s="37">
        <f>SUM(HH_hh_gas_aantal,HH_rest_gas_aantal)</f>
        <v>2731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2731</v>
      </c>
      <c r="C32" s="167">
        <f>IF(ISERROR(B32/SUM($B$32,$B$34,$B$35,$B$36,$B$38,$B$39)*100),0,B32/SUM($B$32,$B$34,$B$35,$B$36,$B$38,$B$39)*100)</f>
        <v>59.44710491946018</v>
      </c>
      <c r="D32" s="233"/>
      <c r="G32" s="15"/>
    </row>
    <row r="33" spans="1:7">
      <c r="A33" s="171" t="s">
        <v>72</v>
      </c>
      <c r="B33" s="34" t="s">
        <v>111</v>
      </c>
      <c r="C33" s="167"/>
      <c r="D33" s="233"/>
      <c r="G33" s="15"/>
    </row>
    <row r="34" spans="1:7">
      <c r="A34" s="171" t="s">
        <v>73</v>
      </c>
      <c r="B34" s="33">
        <f>IF((($B$28-$B$32-$B$39-$B$77-$B$38)*C20/100)&lt;0,0,($B$28-$B$32-$B$39-$B$77-$B$38)*C20/100)</f>
        <v>238.23908918406073</v>
      </c>
      <c r="C34" s="167">
        <f>IF(ISERROR(B34/SUM($B$32,$B$34,$B$35,$B$36,$B$38,$B$39)*100),0,B34/SUM($B$32,$B$34,$B$35,$B$36,$B$38,$B$39)*100)</f>
        <v>5.1858748189826027</v>
      </c>
      <c r="D34" s="233"/>
      <c r="G34" s="15"/>
    </row>
    <row r="35" spans="1:7">
      <c r="A35" s="171" t="s">
        <v>74</v>
      </c>
      <c r="B35" s="33">
        <f>IF((($B$28-$B$32-$B$39-$B$77-$B$38)*C21/100)&lt;0,0,($B$28-$B$32-$B$39-$B$77-$B$38)*C21/100)</f>
        <v>650.1100569259961</v>
      </c>
      <c r="C35" s="167">
        <f>IF(ISERROR(B35/SUM($B$32,$B$34,$B$35,$B$36,$B$38,$B$39)*100),0,B35/SUM($B$32,$B$34,$B$35,$B$36,$B$38,$B$39)*100)</f>
        <v>14.151285522986424</v>
      </c>
      <c r="D35" s="233"/>
      <c r="G35" s="15"/>
    </row>
    <row r="36" spans="1:7">
      <c r="A36" s="171" t="s">
        <v>75</v>
      </c>
      <c r="B36" s="33">
        <f>IF((($B$28-$B$32-$B$39-$B$77-$B$38)*C22/100)&lt;0,0,($B$28-$B$32-$B$39-$B$77-$B$38)*C22/100)</f>
        <v>175.65085388994311</v>
      </c>
      <c r="C36" s="167">
        <f>IF(ISERROR(B36/SUM($B$32,$B$34,$B$35,$B$36,$B$38,$B$39)*100),0,B36/SUM($B$32,$B$34,$B$35,$B$36,$B$38,$B$39)*100)</f>
        <v>3.8234839767075131</v>
      </c>
      <c r="D36" s="233"/>
      <c r="G36" s="15"/>
    </row>
    <row r="37" spans="1:7">
      <c r="A37" s="171" t="s">
        <v>76</v>
      </c>
      <c r="B37" s="34" t="s">
        <v>111</v>
      </c>
      <c r="C37" s="167"/>
      <c r="D37" s="173"/>
      <c r="G37" s="15"/>
    </row>
    <row r="38" spans="1:7">
      <c r="A38" s="171" t="s">
        <v>77</v>
      </c>
      <c r="B38" s="33">
        <f>IF((B24-(B29-B18)*0.1)&lt;0,0,B24-(B29-B18)*0.1)</f>
        <v>59.699999999999989</v>
      </c>
      <c r="C38" s="167">
        <f>IF(ISERROR(B38/SUM($B$32,$B$34,$B$35,$B$36,$B$38,$B$39)*100),0,B38/SUM($B$32,$B$34,$B$35,$B$36,$B$38,$B$39)*100)</f>
        <v>1.2995211144971703</v>
      </c>
      <c r="D38" s="234"/>
      <c r="G38" s="15"/>
    </row>
    <row r="39" spans="1:7">
      <c r="A39" s="171" t="s">
        <v>78</v>
      </c>
      <c r="B39" s="33">
        <f>IF((B25-(B29-B18))&lt;0,0,B25-(B29-B18)*0.9)</f>
        <v>739.3</v>
      </c>
      <c r="C39" s="167">
        <f>IF(ISERROR(B39/SUM($B$32,$B$34,$B$35,$B$36,$B$38,$B$39)*100),0,B39/SUM($B$32,$B$34,$B$35,$B$36,$B$38,$B$39)*100)</f>
        <v>16.092729647366134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2731</v>
      </c>
      <c r="C44" s="34" t="s">
        <v>111</v>
      </c>
      <c r="D44" s="174"/>
    </row>
    <row r="45" spans="1:7">
      <c r="A45" s="171" t="s">
        <v>72</v>
      </c>
      <c r="B45" s="33" t="str">
        <f t="shared" si="0"/>
        <v>-</v>
      </c>
      <c r="C45" s="34" t="s">
        <v>111</v>
      </c>
      <c r="D45" s="174"/>
    </row>
    <row r="46" spans="1:7">
      <c r="A46" s="171" t="s">
        <v>73</v>
      </c>
      <c r="B46" s="33">
        <f t="shared" si="0"/>
        <v>238.23908918406073</v>
      </c>
      <c r="C46" s="34" t="s">
        <v>111</v>
      </c>
      <c r="D46" s="174"/>
    </row>
    <row r="47" spans="1:7">
      <c r="A47" s="171" t="s">
        <v>74</v>
      </c>
      <c r="B47" s="33">
        <f t="shared" si="0"/>
        <v>650.1100569259961</v>
      </c>
      <c r="C47" s="34" t="s">
        <v>111</v>
      </c>
      <c r="D47" s="174"/>
    </row>
    <row r="48" spans="1:7">
      <c r="A48" s="171" t="s">
        <v>75</v>
      </c>
      <c r="B48" s="33">
        <f t="shared" si="0"/>
        <v>175.65085388994311</v>
      </c>
      <c r="C48" s="33">
        <f>B48*10</f>
        <v>1756.5085388994312</v>
      </c>
      <c r="D48" s="234"/>
    </row>
    <row r="49" spans="1:6">
      <c r="A49" s="171" t="s">
        <v>76</v>
      </c>
      <c r="B49" s="33" t="str">
        <f t="shared" si="0"/>
        <v>-</v>
      </c>
      <c r="C49" s="34" t="s">
        <v>111</v>
      </c>
      <c r="D49" s="234"/>
    </row>
    <row r="50" spans="1:6">
      <c r="A50" s="171" t="s">
        <v>77</v>
      </c>
      <c r="B50" s="33">
        <f t="shared" si="0"/>
        <v>59.699999999999989</v>
      </c>
      <c r="C50" s="33">
        <f>B50*2</f>
        <v>119.39999999999998</v>
      </c>
      <c r="D50" s="234"/>
    </row>
    <row r="51" spans="1:6">
      <c r="A51" s="171" t="s">
        <v>78</v>
      </c>
      <c r="B51" s="33">
        <f t="shared" si="0"/>
        <v>739.3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13982.709458055675</v>
      </c>
      <c r="C5" s="17">
        <f>IF(ISERROR('Eigen informatie GS &amp; warmtenet'!B58),0,'Eigen informatie GS &amp; warmtenet'!B58)</f>
        <v>0</v>
      </c>
      <c r="D5" s="30">
        <f>SUM(D6:D12)</f>
        <v>13867.51341380074</v>
      </c>
      <c r="E5" s="17">
        <f>SUM(E6:E12)</f>
        <v>196.10265858070414</v>
      </c>
      <c r="F5" s="17">
        <f>SUM(F6:F12)</f>
        <v>2703.7871405287206</v>
      </c>
      <c r="G5" s="18"/>
      <c r="H5" s="17"/>
      <c r="I5" s="17"/>
      <c r="J5" s="17">
        <f>SUM(J6:J12)</f>
        <v>8.339822706762412E-2</v>
      </c>
      <c r="K5" s="17"/>
      <c r="L5" s="17"/>
      <c r="M5" s="17"/>
      <c r="N5" s="17">
        <f>SUM(N6:N12)</f>
        <v>3280.6648556199289</v>
      </c>
      <c r="O5" s="17">
        <f>B38*B39*B40</f>
        <v>0</v>
      </c>
      <c r="P5" s="17">
        <f>B46*B47*B48/1000-B46*B47*B48/1000/B49</f>
        <v>0</v>
      </c>
      <c r="R5" s="32"/>
    </row>
    <row r="6" spans="1:18">
      <c r="A6" s="32" t="s">
        <v>54</v>
      </c>
      <c r="B6" s="37">
        <f>B26</f>
        <v>2107.1367478172601</v>
      </c>
      <c r="C6" s="33"/>
      <c r="D6" s="37">
        <f>IF(ISERROR(TER_kantoor_gas_kWh/1000),0,TER_kantoor_gas_kWh/1000)*0.902</f>
        <v>4918.9690766868671</v>
      </c>
      <c r="E6" s="33">
        <f>$C$26*'E Balans VL '!I12/100/3.6*1000000</f>
        <v>1.320683231261564E-2</v>
      </c>
      <c r="F6" s="33">
        <f>$C$26*('E Balans VL '!L12+'E Balans VL '!N12)/100/3.6*1000000</f>
        <v>316.64377418068688</v>
      </c>
      <c r="G6" s="34"/>
      <c r="H6" s="33"/>
      <c r="I6" s="33"/>
      <c r="J6" s="33">
        <f>$C$26*('E Balans VL '!D12+'E Balans VL '!E12)/100/3.6*1000000</f>
        <v>0</v>
      </c>
      <c r="K6" s="33"/>
      <c r="L6" s="33"/>
      <c r="M6" s="33"/>
      <c r="N6" s="33">
        <f>$C$26*'E Balans VL '!Y12/100/3.6*1000000</f>
        <v>2.0151638819783684</v>
      </c>
      <c r="O6" s="33"/>
      <c r="P6" s="33"/>
      <c r="R6" s="32"/>
    </row>
    <row r="7" spans="1:18">
      <c r="A7" s="32" t="s">
        <v>53</v>
      </c>
      <c r="B7" s="37">
        <f t="shared" ref="B7:B12" si="0">B27</f>
        <v>856.35644598816407</v>
      </c>
      <c r="C7" s="33"/>
      <c r="D7" s="37">
        <f>IF(ISERROR(TER_horeca_gas_kWh/1000),0,TER_horeca_gas_kWh/1000)*0.902</f>
        <v>792.05240259021787</v>
      </c>
      <c r="E7" s="33">
        <f>$C$27*'E Balans VL '!I9/100/3.6*1000000</f>
        <v>12.262881664796646</v>
      </c>
      <c r="F7" s="33">
        <f>$C$27*('E Balans VL '!L9+'E Balans VL '!N9)/100/3.6*1000000</f>
        <v>108.44296978580411</v>
      </c>
      <c r="G7" s="34"/>
      <c r="H7" s="33"/>
      <c r="I7" s="33"/>
      <c r="J7" s="33">
        <f>$C$27*('E Balans VL '!D9+'E Balans VL '!E9)/100/3.6*1000000</f>
        <v>0</v>
      </c>
      <c r="K7" s="33"/>
      <c r="L7" s="33"/>
      <c r="M7" s="33"/>
      <c r="N7" s="33">
        <f>$C$27*'E Balans VL '!Y9/100/3.6*1000000</f>
        <v>0.24618359718270519</v>
      </c>
      <c r="O7" s="33"/>
      <c r="P7" s="33"/>
      <c r="R7" s="32"/>
    </row>
    <row r="8" spans="1:18">
      <c r="A8" s="6" t="s">
        <v>52</v>
      </c>
      <c r="B8" s="37">
        <f t="shared" si="0"/>
        <v>3666.7041556061199</v>
      </c>
      <c r="C8" s="33"/>
      <c r="D8" s="37">
        <f>IF(ISERROR(TER_handel_gas_kWh/1000),0,TER_handel_gas_kWh/1000)*0.902</f>
        <v>1514.1163111428957</v>
      </c>
      <c r="E8" s="33">
        <f>$C$28*'E Balans VL '!I13/100/3.6*1000000</f>
        <v>132.99090756613489</v>
      </c>
      <c r="F8" s="33">
        <f>$C$28*('E Balans VL '!L13+'E Balans VL '!N13)/100/3.6*1000000</f>
        <v>706.24434810982234</v>
      </c>
      <c r="G8" s="34"/>
      <c r="H8" s="33"/>
      <c r="I8" s="33"/>
      <c r="J8" s="33">
        <f>$C$28*('E Balans VL '!D13+'E Balans VL '!E13)/100/3.6*1000000</f>
        <v>0</v>
      </c>
      <c r="K8" s="33"/>
      <c r="L8" s="33"/>
      <c r="M8" s="33"/>
      <c r="N8" s="33">
        <f>$C$28*'E Balans VL '!Y13/100/3.6*1000000</f>
        <v>5.0792289265140829</v>
      </c>
      <c r="O8" s="33"/>
      <c r="P8" s="33"/>
      <c r="R8" s="32"/>
    </row>
    <row r="9" spans="1:18">
      <c r="A9" s="32" t="s">
        <v>51</v>
      </c>
      <c r="B9" s="37">
        <f t="shared" si="0"/>
        <v>176.797005411415</v>
      </c>
      <c r="C9" s="33"/>
      <c r="D9" s="37">
        <f>IF(ISERROR(TER_gezond_gas_kWh/1000),0,TER_gezond_gas_kWh/1000)*0.902</f>
        <v>289.55163399747772</v>
      </c>
      <c r="E9" s="33">
        <f>$C$29*'E Balans VL '!I10/100/3.6*1000000</f>
        <v>1.106923809383026E-2</v>
      </c>
      <c r="F9" s="33">
        <f>$C$29*('E Balans VL '!L10+'E Balans VL '!N10)/100/3.6*1000000</f>
        <v>26.263733449482615</v>
      </c>
      <c r="G9" s="34"/>
      <c r="H9" s="33"/>
      <c r="I9" s="33"/>
      <c r="J9" s="33">
        <f>$C$29*('E Balans VL '!D10+'E Balans VL '!E10)/100/3.6*1000000</f>
        <v>0</v>
      </c>
      <c r="K9" s="33"/>
      <c r="L9" s="33"/>
      <c r="M9" s="33"/>
      <c r="N9" s="33">
        <f>$C$29*'E Balans VL '!Y10/100/3.6*1000000</f>
        <v>2.7347131391565447</v>
      </c>
      <c r="O9" s="33"/>
      <c r="P9" s="33"/>
      <c r="R9" s="32"/>
    </row>
    <row r="10" spans="1:18">
      <c r="A10" s="32" t="s">
        <v>50</v>
      </c>
      <c r="B10" s="37">
        <f t="shared" si="0"/>
        <v>3438.4874319422397</v>
      </c>
      <c r="C10" s="33"/>
      <c r="D10" s="37">
        <f>IF(ISERROR(TER_ander_gas_kWh/1000),0,TER_ander_gas_kWh/1000)*0.902</f>
        <v>334.05854031449462</v>
      </c>
      <c r="E10" s="33">
        <f>$C$30*'E Balans VL '!I14/100/3.6*1000000</f>
        <v>4.0985541480958458</v>
      </c>
      <c r="F10" s="33">
        <f>$C$30*('E Balans VL '!L14+'E Balans VL '!N14)/100/3.6*1000000</f>
        <v>899.66117534096225</v>
      </c>
      <c r="G10" s="34"/>
      <c r="H10" s="33"/>
      <c r="I10" s="33"/>
      <c r="J10" s="33">
        <f>$C$30*('E Balans VL '!D14+'E Balans VL '!E14)/100/3.6*1000000</f>
        <v>7.4636083648900564E-2</v>
      </c>
      <c r="K10" s="33"/>
      <c r="L10" s="33"/>
      <c r="M10" s="33"/>
      <c r="N10" s="33">
        <f>$C$30*'E Balans VL '!Y14/100/3.6*1000000</f>
        <v>2919.8793886022258</v>
      </c>
      <c r="O10" s="33"/>
      <c r="P10" s="33"/>
      <c r="R10" s="32"/>
    </row>
    <row r="11" spans="1:18">
      <c r="A11" s="32" t="s">
        <v>55</v>
      </c>
      <c r="B11" s="37">
        <f t="shared" si="0"/>
        <v>118.787819173768</v>
      </c>
      <c r="C11" s="33"/>
      <c r="D11" s="37">
        <f>IF(ISERROR(TER_onderwijs_gas_kWh/1000),0,TER_onderwijs_gas_kWh/1000)*0.902</f>
        <v>591.33004113621269</v>
      </c>
      <c r="E11" s="33">
        <f>$C$31*'E Balans VL '!I11/100/3.6*1000000</f>
        <v>1.7923168653562509</v>
      </c>
      <c r="F11" s="33">
        <f>$C$31*('E Balans VL '!L11+'E Balans VL '!N11)/100/3.6*1000000</f>
        <v>20.813523611111151</v>
      </c>
      <c r="G11" s="34"/>
      <c r="H11" s="33"/>
      <c r="I11" s="33"/>
      <c r="J11" s="33">
        <f>$C$31*('E Balans VL '!D11+'E Balans VL '!E11)/100/3.6*1000000</f>
        <v>0</v>
      </c>
      <c r="K11" s="33"/>
      <c r="L11" s="33"/>
      <c r="M11" s="33"/>
      <c r="N11" s="33">
        <f>$C$31*'E Balans VL '!Y11/100/3.6*1000000</f>
        <v>0.33427795374889868</v>
      </c>
      <c r="O11" s="33"/>
      <c r="P11" s="33"/>
      <c r="R11" s="32"/>
    </row>
    <row r="12" spans="1:18">
      <c r="A12" s="32" t="s">
        <v>260</v>
      </c>
      <c r="B12" s="37">
        <f t="shared" si="0"/>
        <v>3618.43985211671</v>
      </c>
      <c r="C12" s="33"/>
      <c r="D12" s="37">
        <f>IF(ISERROR(TER_rest_gas_kWh/1000),0,TER_rest_gas_kWh/1000)*0.902</f>
        <v>5427.4354079325749</v>
      </c>
      <c r="E12" s="33">
        <f>$C$32*'E Balans VL '!I8/100/3.6*1000000</f>
        <v>44.933722265914064</v>
      </c>
      <c r="F12" s="33">
        <f>$C$32*('E Balans VL '!L8+'E Balans VL '!N8)/100/3.6*1000000</f>
        <v>625.71761605085157</v>
      </c>
      <c r="G12" s="34"/>
      <c r="H12" s="33"/>
      <c r="I12" s="33"/>
      <c r="J12" s="33">
        <f>$C$32*('E Balans VL '!D8+'E Balans VL '!E8)/100/3.6*1000000</f>
        <v>8.7621434187235558E-3</v>
      </c>
      <c r="K12" s="33"/>
      <c r="L12" s="33"/>
      <c r="M12" s="33"/>
      <c r="N12" s="33">
        <f>$C$32*'E Balans VL '!Y8/100/3.6*1000000</f>
        <v>350.37589951912236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13982.709458055675</v>
      </c>
      <c r="C16" s="21">
        <f t="shared" ca="1" si="1"/>
        <v>0</v>
      </c>
      <c r="D16" s="21">
        <f t="shared" ca="1" si="1"/>
        <v>13867.51341380074</v>
      </c>
      <c r="E16" s="21">
        <f t="shared" si="1"/>
        <v>196.10265858070414</v>
      </c>
      <c r="F16" s="21">
        <f t="shared" ca="1" si="1"/>
        <v>2703.7871405287206</v>
      </c>
      <c r="G16" s="21">
        <f t="shared" si="1"/>
        <v>0</v>
      </c>
      <c r="H16" s="21">
        <f t="shared" si="1"/>
        <v>0</v>
      </c>
      <c r="I16" s="21">
        <f t="shared" si="1"/>
        <v>0</v>
      </c>
      <c r="J16" s="21">
        <f t="shared" si="1"/>
        <v>8.339822706762412E-2</v>
      </c>
      <c r="K16" s="21">
        <f t="shared" si="1"/>
        <v>0</v>
      </c>
      <c r="L16" s="21">
        <f t="shared" ca="1" si="1"/>
        <v>0</v>
      </c>
      <c r="M16" s="21">
        <f t="shared" si="1"/>
        <v>0</v>
      </c>
      <c r="N16" s="21">
        <f t="shared" ca="1" si="1"/>
        <v>3280.6648556199289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0.19172874181709948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2680.8872915870716</v>
      </c>
      <c r="C20" s="23">
        <f t="shared" ref="C20:P20" ca="1" si="2">C16*C18</f>
        <v>0</v>
      </c>
      <c r="D20" s="23">
        <f t="shared" ca="1" si="2"/>
        <v>2801.2377095877496</v>
      </c>
      <c r="E20" s="23">
        <f t="shared" si="2"/>
        <v>44.515303497819843</v>
      </c>
      <c r="F20" s="23">
        <f t="shared" ca="1" si="2"/>
        <v>721.91116652116841</v>
      </c>
      <c r="G20" s="23">
        <f t="shared" si="2"/>
        <v>0</v>
      </c>
      <c r="H20" s="23">
        <f t="shared" si="2"/>
        <v>0</v>
      </c>
      <c r="I20" s="23">
        <f t="shared" si="2"/>
        <v>0</v>
      </c>
      <c r="J20" s="23">
        <f t="shared" si="2"/>
        <v>2.9522972381938937E-2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2107.1367478172601</v>
      </c>
      <c r="C26" s="39">
        <f>IF(ISERROR(B26*3.6/1000000/'E Balans VL '!Z12*100),0,B26*3.6/1000000/'E Balans VL '!Z12*100)</f>
        <v>4.4541532874623237E-2</v>
      </c>
      <c r="D26" s="237" t="s">
        <v>754</v>
      </c>
      <c r="F26" s="6"/>
    </row>
    <row r="27" spans="1:18">
      <c r="A27" s="231" t="s">
        <v>53</v>
      </c>
      <c r="B27" s="33">
        <f>IF(ISERROR(TER_horeca_ele_kWh/1000),0,TER_horeca_ele_kWh/1000)</f>
        <v>856.35644598816407</v>
      </c>
      <c r="C27" s="39">
        <f>IF(ISERROR(B27*3.6/1000000/'E Balans VL '!Z9*100),0,B27*3.6/1000000/'E Balans VL '!Z9*100)</f>
        <v>6.7506259456904805E-2</v>
      </c>
      <c r="D27" s="237" t="s">
        <v>754</v>
      </c>
      <c r="F27" s="6"/>
    </row>
    <row r="28" spans="1:18">
      <c r="A28" s="171" t="s">
        <v>52</v>
      </c>
      <c r="B28" s="33">
        <f>IF(ISERROR(TER_handel_ele_kWh/1000),0,TER_handel_ele_kWh/1000)</f>
        <v>3666.7041556061199</v>
      </c>
      <c r="C28" s="39">
        <f>IF(ISERROR(B28*3.6/1000000/'E Balans VL '!Z13*100),0,B28*3.6/1000000/'E Balans VL '!Z13*100)</f>
        <v>0.10642256974060568</v>
      </c>
      <c r="D28" s="237" t="s">
        <v>754</v>
      </c>
      <c r="F28" s="6"/>
    </row>
    <row r="29" spans="1:18">
      <c r="A29" s="231" t="s">
        <v>51</v>
      </c>
      <c r="B29" s="33">
        <f>IF(ISERROR(TER_gezond_ele_kWh/1000),0,TER_gezond_ele_kWh/1000)</f>
        <v>176.797005411415</v>
      </c>
      <c r="C29" s="39">
        <f>IF(ISERROR(B29*3.6/1000000/'E Balans VL '!Z10*100),0,B29*3.6/1000000/'E Balans VL '!Z10*100)</f>
        <v>1.8619627753281038E-2</v>
      </c>
      <c r="D29" s="237" t="s">
        <v>754</v>
      </c>
      <c r="F29" s="6"/>
    </row>
    <row r="30" spans="1:18">
      <c r="A30" s="231" t="s">
        <v>50</v>
      </c>
      <c r="B30" s="33">
        <f>IF(ISERROR(TER_ander_ele_kWh/1000),0,TER_ander_ele_kWh/1000)</f>
        <v>3438.4874319422397</v>
      </c>
      <c r="C30" s="39">
        <f>IF(ISERROR(B30*3.6/1000000/'E Balans VL '!Z14*100),0,B30*3.6/1000000/'E Balans VL '!Z14*100)</f>
        <v>0.25362357981581479</v>
      </c>
      <c r="D30" s="237" t="s">
        <v>754</v>
      </c>
      <c r="F30" s="6"/>
    </row>
    <row r="31" spans="1:18">
      <c r="A31" s="231" t="s">
        <v>55</v>
      </c>
      <c r="B31" s="33">
        <f>IF(ISERROR(TER_onderwijs_ele_kWh/1000),0,TER_onderwijs_ele_kWh/1000)</f>
        <v>118.787819173768</v>
      </c>
      <c r="C31" s="39">
        <f>IF(ISERROR(B31*3.6/1000000/'E Balans VL '!Z11*100),0,B31*3.6/1000000/'E Balans VL '!Z11*100)</f>
        <v>2.9500579849992676E-2</v>
      </c>
      <c r="D31" s="237" t="s">
        <v>754</v>
      </c>
    </row>
    <row r="32" spans="1:18">
      <c r="A32" s="231" t="s">
        <v>260</v>
      </c>
      <c r="B32" s="33">
        <f>IF(ISERROR(TER_rest_ele_kWh/1000),0,TER_rest_ele_kWh/1000)</f>
        <v>3618.43985211671</v>
      </c>
      <c r="C32" s="39">
        <f>IF(ISERROR(B32*3.6/1000000/'E Balans VL '!Z8*100),0,B32*3.6/1000000/'E Balans VL '!Z8*100)</f>
        <v>2.9774956992253514E-2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12711.024337551464</v>
      </c>
      <c r="C5" s="17">
        <f>IF(ISERROR('Eigen informatie GS &amp; warmtenet'!B59),0,'Eigen informatie GS &amp; warmtenet'!B59)</f>
        <v>0</v>
      </c>
      <c r="D5" s="30">
        <f>SUM(D6:D15)</f>
        <v>29325.110709750603</v>
      </c>
      <c r="E5" s="17">
        <f>SUM(E6:E15)</f>
        <v>1151.3676767262114</v>
      </c>
      <c r="F5" s="17">
        <f>SUM(F6:F15)</f>
        <v>3677.5242303475184</v>
      </c>
      <c r="G5" s="18"/>
      <c r="H5" s="17"/>
      <c r="I5" s="17"/>
      <c r="J5" s="17">
        <f>SUM(J6:J15)</f>
        <v>34.051726120029741</v>
      </c>
      <c r="K5" s="17"/>
      <c r="L5" s="17"/>
      <c r="M5" s="17"/>
      <c r="N5" s="17">
        <f>SUM(N6:N15)</f>
        <v>2984.9492435269444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149.168870100075</v>
      </c>
      <c r="C8" s="33"/>
      <c r="D8" s="37">
        <f>IF( ISERROR(IND_metaal_Gas_kWH/1000),0,IND_metaal_Gas_kWH/1000)*0.902</f>
        <v>0</v>
      </c>
      <c r="E8" s="33">
        <f>C30*'E Balans VL '!I18/100/3.6*1000000</f>
        <v>1.3714636919053504</v>
      </c>
      <c r="F8" s="33">
        <f>C30*'E Balans VL '!L18/100/3.6*1000000+C30*'E Balans VL '!N18/100/3.6*1000000</f>
        <v>13.987073680986271</v>
      </c>
      <c r="G8" s="34"/>
      <c r="H8" s="33"/>
      <c r="I8" s="33"/>
      <c r="J8" s="40">
        <f>C30*'E Balans VL '!D18/100/3.6*1000000+C30*'E Balans VL '!E18/100/3.6*1000000</f>
        <v>0</v>
      </c>
      <c r="K8" s="33"/>
      <c r="L8" s="33"/>
      <c r="M8" s="33"/>
      <c r="N8" s="33">
        <f>C30*'E Balans VL '!Y18/100/3.6*1000000</f>
        <v>2.128140443916287</v>
      </c>
      <c r="O8" s="33"/>
      <c r="P8" s="33"/>
      <c r="R8" s="32"/>
    </row>
    <row r="9" spans="1:18">
      <c r="A9" s="6" t="s">
        <v>33</v>
      </c>
      <c r="B9" s="37">
        <f t="shared" si="0"/>
        <v>2130.2037181106098</v>
      </c>
      <c r="C9" s="33"/>
      <c r="D9" s="37">
        <f>IF( ISERROR(IND_andere_gas_kWh/1000),0,IND_andere_gas_kWh/1000)*0.902</f>
        <v>1324.6218579744591</v>
      </c>
      <c r="E9" s="33">
        <f>C31*'E Balans VL '!I19/100/3.6*1000000</f>
        <v>622.70001697874409</v>
      </c>
      <c r="F9" s="33">
        <f>C31*'E Balans VL '!L19/100/3.6*1000000+C31*'E Balans VL '!N19/100/3.6*1000000</f>
        <v>1711.7799291075025</v>
      </c>
      <c r="G9" s="34"/>
      <c r="H9" s="33"/>
      <c r="I9" s="33"/>
      <c r="J9" s="40">
        <f>C31*'E Balans VL '!D19/100/3.6*1000000+C31*'E Balans VL '!E19/100/3.6*1000000</f>
        <v>0</v>
      </c>
      <c r="K9" s="33"/>
      <c r="L9" s="33"/>
      <c r="M9" s="33"/>
      <c r="N9" s="33">
        <f>C31*'E Balans VL '!Y19/100/3.6*1000000</f>
        <v>703.8523455810797</v>
      </c>
      <c r="O9" s="33"/>
      <c r="P9" s="33"/>
      <c r="R9" s="32"/>
    </row>
    <row r="10" spans="1:18">
      <c r="A10" s="6" t="s">
        <v>41</v>
      </c>
      <c r="B10" s="37">
        <f t="shared" si="0"/>
        <v>606.67723998223505</v>
      </c>
      <c r="C10" s="33"/>
      <c r="D10" s="37">
        <f>IF( ISERROR(IND_voed_gas_kWh/1000),0,IND_voed_gas_kWh/1000)*0.902</f>
        <v>542.34745366715538</v>
      </c>
      <c r="E10" s="33">
        <f>C32*'E Balans VL '!I20/100/3.6*1000000</f>
        <v>1.2834351078244355</v>
      </c>
      <c r="F10" s="33">
        <f>C32*'E Balans VL '!L20/100/3.6*1000000+C32*'E Balans VL '!N20/100/3.6*1000000</f>
        <v>38.573158620698649</v>
      </c>
      <c r="G10" s="34"/>
      <c r="H10" s="33"/>
      <c r="I10" s="33"/>
      <c r="J10" s="40">
        <f>C32*'E Balans VL '!D20/100/3.6*1000000+C32*'E Balans VL '!E20/100/3.6*1000000</f>
        <v>0</v>
      </c>
      <c r="K10" s="33"/>
      <c r="L10" s="33"/>
      <c r="M10" s="33"/>
      <c r="N10" s="33">
        <f>C32*'E Balans VL '!Y20/100/3.6*1000000</f>
        <v>41.866716396064234</v>
      </c>
      <c r="O10" s="33"/>
      <c r="P10" s="33"/>
      <c r="R10" s="32"/>
    </row>
    <row r="11" spans="1:18">
      <c r="A11" s="6" t="s">
        <v>40</v>
      </c>
      <c r="B11" s="37">
        <f t="shared" si="0"/>
        <v>284.27192419262104</v>
      </c>
      <c r="C11" s="33"/>
      <c r="D11" s="37">
        <f>IF( ISERROR(IND_textiel_gas_kWh/1000),0,IND_textiel_gas_kWh/1000)*0.902</f>
        <v>0</v>
      </c>
      <c r="E11" s="33">
        <f>C33*'E Balans VL '!I21/100/3.6*1000000</f>
        <v>0.84426310590055531</v>
      </c>
      <c r="F11" s="33">
        <f>C33*'E Balans VL '!L21/100/3.6*1000000+C33*'E Balans VL '!N21/100/3.6*1000000</f>
        <v>28.719268778011298</v>
      </c>
      <c r="G11" s="34"/>
      <c r="H11" s="33"/>
      <c r="I11" s="33"/>
      <c r="J11" s="40">
        <f>C33*'E Balans VL '!D21/100/3.6*1000000+C33*'E Balans VL '!E21/100/3.6*1000000</f>
        <v>0</v>
      </c>
      <c r="K11" s="33"/>
      <c r="L11" s="33"/>
      <c r="M11" s="33"/>
      <c r="N11" s="33">
        <f>C33*'E Balans VL '!Y21/100/3.6*1000000</f>
        <v>15.678503831636847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30.305975515573003</v>
      </c>
      <c r="C13" s="33"/>
      <c r="D13" s="37">
        <f>IF( ISERROR(IND_papier_gas_kWh/1000),0,IND_papier_gas_kWh/1000)*0.902</f>
        <v>33.434799319114887</v>
      </c>
      <c r="E13" s="33">
        <f>C35*'E Balans VL '!I23/100/3.6*1000000</f>
        <v>4.2997248333802293E-2</v>
      </c>
      <c r="F13" s="33">
        <f>C35*'E Balans VL '!L23/100/3.6*1000000+C35*'E Balans VL '!N23/100/3.6*1000000</f>
        <v>0.73988282015043849</v>
      </c>
      <c r="G13" s="34"/>
      <c r="H13" s="33"/>
      <c r="I13" s="33"/>
      <c r="J13" s="40">
        <f>C35*'E Balans VL '!D23/100/3.6*1000000+C35*'E Balans VL '!E23/100/3.6*1000000</f>
        <v>4.6871036433200289E-3</v>
      </c>
      <c r="K13" s="33"/>
      <c r="L13" s="33"/>
      <c r="M13" s="33"/>
      <c r="N13" s="33">
        <f>C35*'E Balans VL '!Y23/100/3.6*1000000</f>
        <v>88.092296906614493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9510.39660965035</v>
      </c>
      <c r="C15" s="33"/>
      <c r="D15" s="37">
        <f>IF( ISERROR(IND_rest_gas_kWh/1000),0,IND_rest_gas_kWh/1000)*0.902</f>
        <v>27424.706598789875</v>
      </c>
      <c r="E15" s="33">
        <f>C37*'E Balans VL '!I15/100/3.6*1000000</f>
        <v>525.12550059350315</v>
      </c>
      <c r="F15" s="33">
        <f>C37*'E Balans VL '!L15/100/3.6*1000000+C37*'E Balans VL '!N15/100/3.6*1000000</f>
        <v>1883.7249173401692</v>
      </c>
      <c r="G15" s="34"/>
      <c r="H15" s="33"/>
      <c r="I15" s="33"/>
      <c r="J15" s="40">
        <f>C37*'E Balans VL '!D15/100/3.6*1000000+C37*'E Balans VL '!E15/100/3.6*1000000</f>
        <v>34.047039016386421</v>
      </c>
      <c r="K15" s="33"/>
      <c r="L15" s="33"/>
      <c r="M15" s="33"/>
      <c r="N15" s="33">
        <f>C37*'E Balans VL '!Y15/100/3.6*1000000</f>
        <v>2133.3312403676327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12711.024337551464</v>
      </c>
      <c r="C18" s="21">
        <f>C5+C16</f>
        <v>0</v>
      </c>
      <c r="D18" s="21">
        <f>MAX((D5+D16),0)</f>
        <v>29325.110709750603</v>
      </c>
      <c r="E18" s="21">
        <f>MAX((E5+E16),0)</f>
        <v>1151.3676767262114</v>
      </c>
      <c r="F18" s="21">
        <f>MAX((F5+F16),0)</f>
        <v>3677.5242303475184</v>
      </c>
      <c r="G18" s="21"/>
      <c r="H18" s="21"/>
      <c r="I18" s="21"/>
      <c r="J18" s="21">
        <f>MAX((J5+J16),0)</f>
        <v>34.051726120029741</v>
      </c>
      <c r="K18" s="21"/>
      <c r="L18" s="21">
        <f>MAX((L5+L16),0)</f>
        <v>0</v>
      </c>
      <c r="M18" s="21"/>
      <c r="N18" s="21">
        <f>MAX((N5+N16),0)</f>
        <v>2984.9492435269444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0.19172874181709948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2437.0687034452726</v>
      </c>
      <c r="C22" s="23">
        <f ca="1">C18*C20</f>
        <v>0</v>
      </c>
      <c r="D22" s="23">
        <f>D18*D20</f>
        <v>5923.672363369622</v>
      </c>
      <c r="E22" s="23">
        <f>E18*E20</f>
        <v>261.36046261684999</v>
      </c>
      <c r="F22" s="23">
        <f>F18*F20</f>
        <v>981.89896950278751</v>
      </c>
      <c r="G22" s="23"/>
      <c r="H22" s="23"/>
      <c r="I22" s="23"/>
      <c r="J22" s="23">
        <f>J18*J20</f>
        <v>12.054311046490527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149.168870100075</v>
      </c>
      <c r="C30" s="39">
        <f>IF(ISERROR(B30*3.6/1000000/'E Balans VL '!Z18*100),0,B30*3.6/1000000/'E Balans VL '!Z18*100)</f>
        <v>8.4537823625711484E-3</v>
      </c>
      <c r="D30" s="237" t="s">
        <v>754</v>
      </c>
    </row>
    <row r="31" spans="1:18">
      <c r="A31" s="6" t="s">
        <v>33</v>
      </c>
      <c r="B31" s="37">
        <f>IF( ISERROR(IND_ander_ele_kWh/1000),0,IND_ander_ele_kWh/1000)</f>
        <v>2130.2037181106098</v>
      </c>
      <c r="C31" s="39">
        <f>IF(ISERROR(B31*3.6/1000000/'E Balans VL '!Z19*100),0,B31*3.6/1000000/'E Balans VL '!Z19*100)</f>
        <v>9.6617170639594935E-2</v>
      </c>
      <c r="D31" s="237" t="s">
        <v>754</v>
      </c>
    </row>
    <row r="32" spans="1:18">
      <c r="A32" s="171" t="s">
        <v>41</v>
      </c>
      <c r="B32" s="37">
        <f>IF( ISERROR(IND_voed_ele_kWh/1000),0,IND_voed_ele_kWh/1000)</f>
        <v>606.67723998223505</v>
      </c>
      <c r="C32" s="39">
        <f>IF(ISERROR(B32*3.6/1000000/'E Balans VL '!Z20*100),0,B32*3.6/1000000/'E Balans VL '!Z20*100)</f>
        <v>1.8767281114777767E-2</v>
      </c>
      <c r="D32" s="237" t="s">
        <v>754</v>
      </c>
    </row>
    <row r="33" spans="1:5">
      <c r="A33" s="171" t="s">
        <v>40</v>
      </c>
      <c r="B33" s="37">
        <f>IF( ISERROR(IND_textiel_ele_kWh/1000),0,IND_textiel_ele_kWh/1000)</f>
        <v>284.27192419262104</v>
      </c>
      <c r="C33" s="39">
        <f>IF(ISERROR(B33*3.6/1000000/'E Balans VL '!Z21*100),0,B33*3.6/1000000/'E Balans VL '!Z21*100)</f>
        <v>3.7065899071380734E-2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30.305975515573003</v>
      </c>
      <c r="C35" s="39">
        <f>IF(ISERROR(B35*3.6/1000000/'E Balans VL '!Z22*100),0,B35*3.6/1000000/'E Balans VL '!Z22*100)</f>
        <v>5.4510994597051507E-3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9510.39660965035</v>
      </c>
      <c r="C37" s="39">
        <f>IF(ISERROR(B37*3.6/1000000/'E Balans VL '!Z15*100),0,B37*3.6/1000000/'E Balans VL '!Z15*100)</f>
        <v>7.5381573009328268E-2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3755.5538024252273</v>
      </c>
      <c r="C5" s="17">
        <f>'Eigen informatie GS &amp; warmtenet'!B60</f>
        <v>0</v>
      </c>
      <c r="D5" s="30">
        <f>IF(ISERROR(SUM(LB_lb_gas_kWh,LB_rest_gas_kWh,onbekend_gas_kWh)/1000),0,SUM(LB_lb_gas_kWh,LB_rest_gas_kWh,onbekend_gas_kWh)/1000)*0.902</f>
        <v>905.92423139878611</v>
      </c>
      <c r="E5" s="17">
        <f>B17*'E Balans VL '!I25/3.6*1000000/100</f>
        <v>110.38719703856528</v>
      </c>
      <c r="F5" s="17">
        <f>B17*('E Balans VL '!L25/3.6*1000000+'E Balans VL '!N25/3.6*1000000)/100</f>
        <v>15645.434201427834</v>
      </c>
      <c r="G5" s="18"/>
      <c r="H5" s="17"/>
      <c r="I5" s="17"/>
      <c r="J5" s="17">
        <f>('E Balans VL '!D25+'E Balans VL '!E25)/3.6*1000000*landbouw!B17/100</f>
        <v>544.09909453030048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3755.5538024252273</v>
      </c>
      <c r="C8" s="21">
        <f>C5+C6</f>
        <v>0</v>
      </c>
      <c r="D8" s="21">
        <f>MAX((D5+D6),0)</f>
        <v>905.92423139878611</v>
      </c>
      <c r="E8" s="21">
        <f>MAX((E5+E6),0)</f>
        <v>110.38719703856528</v>
      </c>
      <c r="F8" s="21">
        <f>MAX((F5+F6),0)</f>
        <v>15645.434201427834</v>
      </c>
      <c r="G8" s="21"/>
      <c r="H8" s="21"/>
      <c r="I8" s="21"/>
      <c r="J8" s="21">
        <f>MAX((J5+J6),0)</f>
        <v>544.09909453030048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0.19172874181709948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720.04760536541266</v>
      </c>
      <c r="C12" s="23">
        <f ca="1">C8*C10</f>
        <v>0</v>
      </c>
      <c r="D12" s="23">
        <f>D8*D10</f>
        <v>182.99669474255481</v>
      </c>
      <c r="E12" s="23">
        <f>E8*E10</f>
        <v>25.057893727754319</v>
      </c>
      <c r="F12" s="23">
        <f>F8*F10</f>
        <v>4177.3309317812318</v>
      </c>
      <c r="G12" s="23"/>
      <c r="H12" s="23"/>
      <c r="I12" s="23"/>
      <c r="J12" s="23">
        <f>J8*J10</f>
        <v>192.61107946372636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0.53292486725485944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304.02967620240076</v>
      </c>
      <c r="C26" s="247">
        <f>B26*'GWP N2O_CH4'!B5</f>
        <v>6384.6232002504157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252.58988679787376</v>
      </c>
      <c r="C27" s="247">
        <f>B27*'GWP N2O_CH4'!B5</f>
        <v>5304.3876227553492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4.7582725506162156</v>
      </c>
      <c r="C28" s="247">
        <f>B28*'GWP N2O_CH4'!B4</f>
        <v>1475.0644906910268</v>
      </c>
      <c r="D28" s="50"/>
    </row>
    <row r="29" spans="1:4">
      <c r="A29" s="41" t="s">
        <v>277</v>
      </c>
      <c r="B29" s="247">
        <f>B34*'ha_N2O bodem landbouw'!B4</f>
        <v>12.55281488683689</v>
      </c>
      <c r="C29" s="247">
        <f>B29*'GWP N2O_CH4'!B4</f>
        <v>3891.3726149194358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2.8645090982516151E-3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6.0075458044087905E-5</v>
      </c>
      <c r="C5" s="463" t="s">
        <v>211</v>
      </c>
      <c r="D5" s="448">
        <f>SUM(D6:D11)</f>
        <v>2.3764825208181034E-4</v>
      </c>
      <c r="E5" s="448">
        <f>SUM(E6:E11)</f>
        <v>3.1140760656397167E-4</v>
      </c>
      <c r="F5" s="461" t="s">
        <v>211</v>
      </c>
      <c r="G5" s="448">
        <f>SUM(G6:G11)</f>
        <v>0.12596119509162812</v>
      </c>
      <c r="H5" s="448">
        <f>SUM(H6:H11)</f>
        <v>2.6618015109540035E-2</v>
      </c>
      <c r="I5" s="463" t="s">
        <v>211</v>
      </c>
      <c r="J5" s="463" t="s">
        <v>211</v>
      </c>
      <c r="K5" s="463" t="s">
        <v>211</v>
      </c>
      <c r="L5" s="463" t="s">
        <v>211</v>
      </c>
      <c r="M5" s="448">
        <f>SUM(M6:M11)</f>
        <v>8.149376828307962E-3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3.5453981998545828E-5</v>
      </c>
      <c r="C6" s="449"/>
      <c r="D6" s="962">
        <f>vkm_2011_GW_PW*SUMIFS(TableVerdeelsleutelVkm[CNG],TableVerdeelsleutelVkm[Voertuigtype],"Lichte voertuigen")*SUMIFS(TableECFTransport[EnergieConsumptieFactor (PJ per km)],TableECFTransport[Index],CONCATENATE($A6,"_CNG_CNG"))</f>
        <v>1.063415972609113E-4</v>
      </c>
      <c r="E6" s="962">
        <f>vkm_2011_GW_PW*SUMIFS(TableVerdeelsleutelVkm[LPG],TableVerdeelsleutelVkm[Voertuigtype],"Lichte voertuigen")*SUMIFS(TableECFTransport[EnergieConsumptieFactor (PJ per km)],TableECFTransport[Index],CONCATENATE($A6,"_LPG_LPG"))</f>
        <v>1.452778970760542E-4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3.7562204541556933E-2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1.2093017549948563E-2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2.5534730835543103E-3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2.6835339149356832E-2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8.1774355405830268E-6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1.5681681131284374E-3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2.4621476045542077E-5</v>
      </c>
      <c r="C8" s="449"/>
      <c r="D8" s="451">
        <f>vkm_2011_NGW_PW*SUMIFS(TableVerdeelsleutelVkm[CNG],TableVerdeelsleutelVkm[Voertuigtype],"Lichte voertuigen")*SUMIFS(TableECFTransport[EnergieConsumptieFactor (PJ per km)],TableECFTransport[Index],CONCATENATE($A8,"_CNG_CNG"))</f>
        <v>1.3130665482089904E-4</v>
      </c>
      <c r="E8" s="451">
        <f>vkm_2011_NGW_PW*SUMIFS(TableVerdeelsleutelVkm[LPG],TableVerdeelsleutelVkm[Voertuigtype],"Lichte voertuigen")*SUMIFS(TableECFTransport[EnergieConsumptieFactor (PJ per km)],TableECFTransport[Index],CONCATENATE($A8,"_LPG_LPG"))</f>
        <v>1.6612970948791744E-4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4.0028142655362191E-2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1.4510642156417106E-2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2.7692834165110444E-3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2.1535508745352164E-2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6.1779676337846767E-6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1.2584522151141693E-3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16.687627234468863</v>
      </c>
      <c r="C14" s="21"/>
      <c r="D14" s="21">
        <f t="shared" ref="D14:M14" si="0">((D5)*10^9/3600)+D12</f>
        <v>66.013403356058433</v>
      </c>
      <c r="E14" s="21">
        <f t="shared" si="0"/>
        <v>86.502112934436582</v>
      </c>
      <c r="F14" s="21"/>
      <c r="G14" s="21">
        <f t="shared" si="0"/>
        <v>34989.220858785586</v>
      </c>
      <c r="H14" s="21">
        <f t="shared" si="0"/>
        <v>7393.8930859833426</v>
      </c>
      <c r="I14" s="21"/>
      <c r="J14" s="21"/>
      <c r="K14" s="21"/>
      <c r="L14" s="21"/>
      <c r="M14" s="21">
        <f t="shared" si="0"/>
        <v>2263.7157856411004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0.19172874181709948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3.1994977735774786</v>
      </c>
      <c r="C18" s="23"/>
      <c r="D18" s="23">
        <f t="shared" ref="D18:M18" si="1">D14*D16</f>
        <v>13.334707477923804</v>
      </c>
      <c r="E18" s="23">
        <f t="shared" si="1"/>
        <v>19.635979636117106</v>
      </c>
      <c r="F18" s="23"/>
      <c r="G18" s="23">
        <f t="shared" si="1"/>
        <v>9342.1219692957511</v>
      </c>
      <c r="H18" s="23">
        <f t="shared" si="1"/>
        <v>1841.0793784098523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1.3744601291565447E-3</v>
      </c>
      <c r="H50" s="321">
        <f t="shared" si="2"/>
        <v>0</v>
      </c>
      <c r="I50" s="321">
        <f t="shared" si="2"/>
        <v>0</v>
      </c>
      <c r="J50" s="321">
        <f t="shared" si="2"/>
        <v>0</v>
      </c>
      <c r="K50" s="321">
        <f t="shared" si="2"/>
        <v>0</v>
      </c>
      <c r="L50" s="321">
        <f t="shared" si="2"/>
        <v>0</v>
      </c>
      <c r="M50" s="321">
        <f t="shared" si="2"/>
        <v>7.8063267676864033E-5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1.3744601291565447E-3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7.8063267676864033E-5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381.79448032126243</v>
      </c>
      <c r="H54" s="21">
        <f t="shared" si="3"/>
        <v>0</v>
      </c>
      <c r="I54" s="21">
        <f t="shared" si="3"/>
        <v>0</v>
      </c>
      <c r="J54" s="21">
        <f t="shared" si="3"/>
        <v>0</v>
      </c>
      <c r="K54" s="21">
        <f t="shared" si="3"/>
        <v>0</v>
      </c>
      <c r="L54" s="21">
        <f t="shared" si="3"/>
        <v>0</v>
      </c>
      <c r="M54" s="21">
        <f t="shared" si="3"/>
        <v>21.68424102135112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0.19172874181709948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101.93912624577708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6561.8702423416144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6561.8702423416144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14520.341458055675</v>
      </c>
      <c r="D10" s="718">
        <f ca="1">tertiair!C16</f>
        <v>0</v>
      </c>
      <c r="E10" s="718">
        <f ca="1">tertiair!D16</f>
        <v>13867.51341380074</v>
      </c>
      <c r="F10" s="718">
        <f>tertiair!E16</f>
        <v>196.10265858070414</v>
      </c>
      <c r="G10" s="718">
        <f ca="1">tertiair!F16</f>
        <v>2703.7871405287206</v>
      </c>
      <c r="H10" s="718">
        <f>tertiair!G16</f>
        <v>0</v>
      </c>
      <c r="I10" s="718">
        <f>tertiair!H16</f>
        <v>0</v>
      </c>
      <c r="J10" s="718">
        <f>tertiair!I16</f>
        <v>0</v>
      </c>
      <c r="K10" s="718">
        <f>tertiair!J16</f>
        <v>8.339822706762412E-2</v>
      </c>
      <c r="L10" s="718">
        <f>tertiair!K16</f>
        <v>0</v>
      </c>
      <c r="M10" s="718">
        <f ca="1">tertiair!L16</f>
        <v>0</v>
      </c>
      <c r="N10" s="718">
        <f>tertiair!M16</f>
        <v>0</v>
      </c>
      <c r="O10" s="718">
        <f ca="1">tertiair!N16</f>
        <v>3280.6648556199289</v>
      </c>
      <c r="P10" s="718">
        <f>tertiair!O16</f>
        <v>0</v>
      </c>
      <c r="Q10" s="719">
        <f>tertiair!P16</f>
        <v>0</v>
      </c>
      <c r="R10" s="721">
        <f ca="1">SUM(C10:Q10)</f>
        <v>34568.492924812832</v>
      </c>
      <c r="S10" s="67"/>
    </row>
    <row r="11" spans="1:19" s="474" customFormat="1">
      <c r="A11" s="870" t="s">
        <v>225</v>
      </c>
      <c r="B11" s="875"/>
      <c r="C11" s="718">
        <f>huishoudens!B8</f>
        <v>18538.961614655782</v>
      </c>
      <c r="D11" s="718">
        <f>huishoudens!C8</f>
        <v>0</v>
      </c>
      <c r="E11" s="718">
        <f>huishoudens!D8</f>
        <v>37546.09584436212</v>
      </c>
      <c r="F11" s="718">
        <f>huishoudens!E8</f>
        <v>5044.3397240610684</v>
      </c>
      <c r="G11" s="718">
        <f>huishoudens!F8</f>
        <v>19139.210314056323</v>
      </c>
      <c r="H11" s="718">
        <f>huishoudens!G8</f>
        <v>0</v>
      </c>
      <c r="I11" s="718">
        <f>huishoudens!H8</f>
        <v>0</v>
      </c>
      <c r="J11" s="718">
        <f>huishoudens!I8</f>
        <v>0</v>
      </c>
      <c r="K11" s="718">
        <f>huishoudens!J8</f>
        <v>2105.0415199622776</v>
      </c>
      <c r="L11" s="718">
        <f>huishoudens!K8</f>
        <v>0</v>
      </c>
      <c r="M11" s="718">
        <f>huishoudens!L8</f>
        <v>0</v>
      </c>
      <c r="N11" s="718">
        <f>huishoudens!M8</f>
        <v>0</v>
      </c>
      <c r="O11" s="718">
        <f>huishoudens!N8</f>
        <v>12674.59937909104</v>
      </c>
      <c r="P11" s="718">
        <f>huishoudens!O8</f>
        <v>200.10666666666668</v>
      </c>
      <c r="Q11" s="719">
        <f>huishoudens!P8</f>
        <v>266.93333333333334</v>
      </c>
      <c r="R11" s="721">
        <f>SUM(C11:Q11)</f>
        <v>95515.288396188625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12711.024337551464</v>
      </c>
      <c r="D13" s="718">
        <f>industrie!C18</f>
        <v>0</v>
      </c>
      <c r="E13" s="718">
        <f>industrie!D18</f>
        <v>29325.110709750603</v>
      </c>
      <c r="F13" s="718">
        <f>industrie!E18</f>
        <v>1151.3676767262114</v>
      </c>
      <c r="G13" s="718">
        <f>industrie!F18</f>
        <v>3677.5242303475184</v>
      </c>
      <c r="H13" s="718">
        <f>industrie!G18</f>
        <v>0</v>
      </c>
      <c r="I13" s="718">
        <f>industrie!H18</f>
        <v>0</v>
      </c>
      <c r="J13" s="718">
        <f>industrie!I18</f>
        <v>0</v>
      </c>
      <c r="K13" s="718">
        <f>industrie!J18</f>
        <v>34.051726120029741</v>
      </c>
      <c r="L13" s="718">
        <f>industrie!K18</f>
        <v>0</v>
      </c>
      <c r="M13" s="718">
        <f>industrie!L18</f>
        <v>0</v>
      </c>
      <c r="N13" s="718">
        <f>industrie!M18</f>
        <v>0</v>
      </c>
      <c r="O13" s="718">
        <f>industrie!N18</f>
        <v>2984.9492435269444</v>
      </c>
      <c r="P13" s="718">
        <f>industrie!O18</f>
        <v>0</v>
      </c>
      <c r="Q13" s="719">
        <f>industrie!P18</f>
        <v>0</v>
      </c>
      <c r="R13" s="721">
        <f>SUM(C13:Q13)</f>
        <v>49884.027924022768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45770.327410262915</v>
      </c>
      <c r="D15" s="723">
        <f t="shared" ref="D15:Q15" ca="1" si="0">SUM(D9:D14)</f>
        <v>0</v>
      </c>
      <c r="E15" s="723">
        <f t="shared" ca="1" si="0"/>
        <v>80738.719967913465</v>
      </c>
      <c r="F15" s="723">
        <f t="shared" si="0"/>
        <v>6391.8100593679837</v>
      </c>
      <c r="G15" s="723">
        <f t="shared" ca="1" si="0"/>
        <v>25520.521684932559</v>
      </c>
      <c r="H15" s="723">
        <f t="shared" si="0"/>
        <v>0</v>
      </c>
      <c r="I15" s="723">
        <f t="shared" si="0"/>
        <v>0</v>
      </c>
      <c r="J15" s="723">
        <f t="shared" si="0"/>
        <v>0</v>
      </c>
      <c r="K15" s="723">
        <f t="shared" si="0"/>
        <v>2139.1766443093752</v>
      </c>
      <c r="L15" s="723">
        <f t="shared" si="0"/>
        <v>0</v>
      </c>
      <c r="M15" s="723">
        <f t="shared" ca="1" si="0"/>
        <v>0</v>
      </c>
      <c r="N15" s="723">
        <f t="shared" si="0"/>
        <v>0</v>
      </c>
      <c r="O15" s="723">
        <f t="shared" ca="1" si="0"/>
        <v>18940.213478237914</v>
      </c>
      <c r="P15" s="723">
        <f t="shared" si="0"/>
        <v>200.10666666666668</v>
      </c>
      <c r="Q15" s="724">
        <f t="shared" si="0"/>
        <v>266.93333333333334</v>
      </c>
      <c r="R15" s="725">
        <f ca="1">SUM(R9:R14)</f>
        <v>179967.80924502423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381.79448032126243</v>
      </c>
      <c r="I18" s="718">
        <f>transport!H54</f>
        <v>0</v>
      </c>
      <c r="J18" s="718">
        <f>transport!I54</f>
        <v>0</v>
      </c>
      <c r="K18" s="718">
        <f>transport!J54</f>
        <v>0</v>
      </c>
      <c r="L18" s="718">
        <f>transport!K54</f>
        <v>0</v>
      </c>
      <c r="M18" s="718">
        <f>transport!L54</f>
        <v>0</v>
      </c>
      <c r="N18" s="718">
        <f>transport!M54</f>
        <v>21.68424102135112</v>
      </c>
      <c r="O18" s="718">
        <f>transport!N54</f>
        <v>0</v>
      </c>
      <c r="P18" s="718">
        <f>transport!O54</f>
        <v>0</v>
      </c>
      <c r="Q18" s="719">
        <f>transport!P54</f>
        <v>0</v>
      </c>
      <c r="R18" s="721">
        <f>SUM(C18:Q18)</f>
        <v>403.47872134261354</v>
      </c>
      <c r="S18" s="67"/>
    </row>
    <row r="19" spans="1:19" s="474" customFormat="1" ht="15" thickBot="1">
      <c r="A19" s="870" t="s">
        <v>307</v>
      </c>
      <c r="B19" s="875"/>
      <c r="C19" s="727">
        <f>transport!B14</f>
        <v>16.687627234468863</v>
      </c>
      <c r="D19" s="727">
        <f>transport!C14</f>
        <v>0</v>
      </c>
      <c r="E19" s="727">
        <f>transport!D14</f>
        <v>66.013403356058433</v>
      </c>
      <c r="F19" s="727">
        <f>transport!E14</f>
        <v>86.502112934436582</v>
      </c>
      <c r="G19" s="727">
        <f>transport!F14</f>
        <v>0</v>
      </c>
      <c r="H19" s="727">
        <f>transport!G14</f>
        <v>34989.220858785586</v>
      </c>
      <c r="I19" s="727">
        <f>transport!H14</f>
        <v>7393.8930859833426</v>
      </c>
      <c r="J19" s="727">
        <f>transport!I14</f>
        <v>0</v>
      </c>
      <c r="K19" s="727">
        <f>transport!J14</f>
        <v>0</v>
      </c>
      <c r="L19" s="727">
        <f>transport!K14</f>
        <v>0</v>
      </c>
      <c r="M19" s="727">
        <f>transport!L14</f>
        <v>0</v>
      </c>
      <c r="N19" s="727">
        <f>transport!M14</f>
        <v>2263.7157856411004</v>
      </c>
      <c r="O19" s="727">
        <f>transport!N14</f>
        <v>0</v>
      </c>
      <c r="P19" s="727">
        <f>transport!O14</f>
        <v>0</v>
      </c>
      <c r="Q19" s="728">
        <f>transport!P14</f>
        <v>0</v>
      </c>
      <c r="R19" s="729">
        <f>SUM(C19:Q19)</f>
        <v>44816.032873934993</v>
      </c>
      <c r="S19" s="67"/>
    </row>
    <row r="20" spans="1:19" s="474" customFormat="1" ht="15.75" thickBot="1">
      <c r="A20" s="730" t="s">
        <v>230</v>
      </c>
      <c r="B20" s="878"/>
      <c r="C20" s="873">
        <f>SUM(C17:C19)</f>
        <v>16.687627234468863</v>
      </c>
      <c r="D20" s="731">
        <f t="shared" ref="D20:R20" si="1">SUM(D17:D19)</f>
        <v>0</v>
      </c>
      <c r="E20" s="731">
        <f t="shared" si="1"/>
        <v>66.013403356058433</v>
      </c>
      <c r="F20" s="731">
        <f t="shared" si="1"/>
        <v>86.502112934436582</v>
      </c>
      <c r="G20" s="731">
        <f t="shared" si="1"/>
        <v>0</v>
      </c>
      <c r="H20" s="731">
        <f t="shared" si="1"/>
        <v>35371.015339106845</v>
      </c>
      <c r="I20" s="731">
        <f t="shared" si="1"/>
        <v>7393.8930859833426</v>
      </c>
      <c r="J20" s="731">
        <f t="shared" si="1"/>
        <v>0</v>
      </c>
      <c r="K20" s="731">
        <f t="shared" si="1"/>
        <v>0</v>
      </c>
      <c r="L20" s="731">
        <f t="shared" si="1"/>
        <v>0</v>
      </c>
      <c r="M20" s="731">
        <f t="shared" si="1"/>
        <v>0</v>
      </c>
      <c r="N20" s="731">
        <f t="shared" si="1"/>
        <v>2285.4000266624516</v>
      </c>
      <c r="O20" s="731">
        <f t="shared" si="1"/>
        <v>0</v>
      </c>
      <c r="P20" s="731">
        <f t="shared" si="1"/>
        <v>0</v>
      </c>
      <c r="Q20" s="732">
        <f t="shared" si="1"/>
        <v>0</v>
      </c>
      <c r="R20" s="733">
        <f t="shared" si="1"/>
        <v>45219.51159527761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3755.5538024252273</v>
      </c>
      <c r="D22" s="727">
        <f>+landbouw!C8</f>
        <v>0</v>
      </c>
      <c r="E22" s="727">
        <f>+landbouw!D8</f>
        <v>905.92423139878611</v>
      </c>
      <c r="F22" s="727">
        <f>+landbouw!E8</f>
        <v>110.38719703856528</v>
      </c>
      <c r="G22" s="727">
        <f>+landbouw!F8</f>
        <v>15645.434201427834</v>
      </c>
      <c r="H22" s="727">
        <f>+landbouw!G8</f>
        <v>0</v>
      </c>
      <c r="I22" s="727">
        <f>+landbouw!H8</f>
        <v>0</v>
      </c>
      <c r="J22" s="727">
        <f>+landbouw!I8</f>
        <v>0</v>
      </c>
      <c r="K22" s="727">
        <f>+landbouw!J8</f>
        <v>544.09909453030048</v>
      </c>
      <c r="L22" s="727">
        <f>+landbouw!K8</f>
        <v>0</v>
      </c>
      <c r="M22" s="727">
        <f>+landbouw!L8</f>
        <v>0</v>
      </c>
      <c r="N22" s="727">
        <f>+landbouw!M8</f>
        <v>0</v>
      </c>
      <c r="O22" s="727">
        <f>+landbouw!N8</f>
        <v>0</v>
      </c>
      <c r="P22" s="727">
        <f>+landbouw!O8</f>
        <v>0</v>
      </c>
      <c r="Q22" s="728">
        <f>+landbouw!P8</f>
        <v>0</v>
      </c>
      <c r="R22" s="729">
        <f>SUM(C22:Q22)</f>
        <v>20961.398526820714</v>
      </c>
      <c r="S22" s="67"/>
    </row>
    <row r="23" spans="1:19" s="474" customFormat="1" ht="17.25" thickTop="1" thickBot="1">
      <c r="A23" s="734" t="s">
        <v>116</v>
      </c>
      <c r="B23" s="864"/>
      <c r="C23" s="735">
        <f ca="1">C20+C15+C22</f>
        <v>49542.568839922606</v>
      </c>
      <c r="D23" s="735">
        <f t="shared" ref="D23:Q23" ca="1" si="2">D20+D15+D22</f>
        <v>0</v>
      </c>
      <c r="E23" s="735">
        <f t="shared" ca="1" si="2"/>
        <v>81710.657602668318</v>
      </c>
      <c r="F23" s="735">
        <f t="shared" si="2"/>
        <v>6588.6993693409859</v>
      </c>
      <c r="G23" s="735">
        <f t="shared" ca="1" si="2"/>
        <v>41165.955886360389</v>
      </c>
      <c r="H23" s="735">
        <f t="shared" si="2"/>
        <v>35371.015339106845</v>
      </c>
      <c r="I23" s="735">
        <f t="shared" si="2"/>
        <v>7393.8930859833426</v>
      </c>
      <c r="J23" s="735">
        <f t="shared" si="2"/>
        <v>0</v>
      </c>
      <c r="K23" s="735">
        <f t="shared" si="2"/>
        <v>2683.2757388396758</v>
      </c>
      <c r="L23" s="735">
        <f t="shared" si="2"/>
        <v>0</v>
      </c>
      <c r="M23" s="735">
        <f t="shared" ca="1" si="2"/>
        <v>0</v>
      </c>
      <c r="N23" s="735">
        <f t="shared" si="2"/>
        <v>2285.4000266624516</v>
      </c>
      <c r="O23" s="735">
        <f t="shared" ca="1" si="2"/>
        <v>18940.213478237914</v>
      </c>
      <c r="P23" s="735">
        <f t="shared" si="2"/>
        <v>200.10666666666668</v>
      </c>
      <c r="Q23" s="736">
        <f t="shared" si="2"/>
        <v>266.93333333333334</v>
      </c>
      <c r="R23" s="737">
        <f ca="1">R20+R15+R22</f>
        <v>246148.71936712254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2783.9667985076821</v>
      </c>
      <c r="D36" s="718">
        <f ca="1">tertiair!C20</f>
        <v>0</v>
      </c>
      <c r="E36" s="718">
        <f ca="1">tertiair!D20</f>
        <v>2801.2377095877496</v>
      </c>
      <c r="F36" s="718">
        <f>tertiair!E20</f>
        <v>44.515303497819843</v>
      </c>
      <c r="G36" s="718">
        <f ca="1">tertiair!F20</f>
        <v>721.91116652116841</v>
      </c>
      <c r="H36" s="718">
        <f>tertiair!G20</f>
        <v>0</v>
      </c>
      <c r="I36" s="718">
        <f>tertiair!H20</f>
        <v>0</v>
      </c>
      <c r="J36" s="718">
        <f>tertiair!I20</f>
        <v>0</v>
      </c>
      <c r="K36" s="718">
        <f>tertiair!J20</f>
        <v>2.9522972381938937E-2</v>
      </c>
      <c r="L36" s="718">
        <f>tertiair!K20</f>
        <v>0</v>
      </c>
      <c r="M36" s="718">
        <f ca="1">tertiair!L20</f>
        <v>0</v>
      </c>
      <c r="N36" s="718">
        <f>tertiair!M20</f>
        <v>0</v>
      </c>
      <c r="O36" s="718">
        <f ca="1">tertiair!N20</f>
        <v>0</v>
      </c>
      <c r="P36" s="718">
        <f>tertiair!O20</f>
        <v>0</v>
      </c>
      <c r="Q36" s="828">
        <f>tertiair!P20</f>
        <v>0</v>
      </c>
      <c r="R36" s="917">
        <f ca="1">SUM(C36:Q36)</f>
        <v>6351.6605010868025</v>
      </c>
    </row>
    <row r="37" spans="1:18">
      <c r="A37" s="885" t="s">
        <v>225</v>
      </c>
      <c r="B37" s="892"/>
      <c r="C37" s="718">
        <f ca="1">huishoudens!B12</f>
        <v>3554.4517849734561</v>
      </c>
      <c r="D37" s="718">
        <f ca="1">huishoudens!C12</f>
        <v>0</v>
      </c>
      <c r="E37" s="718">
        <f>huishoudens!D12</f>
        <v>7584.3113605611488</v>
      </c>
      <c r="F37" s="718">
        <f>huishoudens!E12</f>
        <v>1145.0651173618626</v>
      </c>
      <c r="G37" s="718">
        <f>huishoudens!F12</f>
        <v>5110.1691538530386</v>
      </c>
      <c r="H37" s="718">
        <f>huishoudens!G12</f>
        <v>0</v>
      </c>
      <c r="I37" s="718">
        <f>huishoudens!H12</f>
        <v>0</v>
      </c>
      <c r="J37" s="718">
        <f>huishoudens!I12</f>
        <v>0</v>
      </c>
      <c r="K37" s="718">
        <f>huishoudens!J12</f>
        <v>745.18469806664621</v>
      </c>
      <c r="L37" s="718">
        <f>huishoudens!K12</f>
        <v>0</v>
      </c>
      <c r="M37" s="718">
        <f>huishoudens!L12</f>
        <v>0</v>
      </c>
      <c r="N37" s="718">
        <f>huishoudens!M12</f>
        <v>0</v>
      </c>
      <c r="O37" s="718">
        <f>huishoudens!N12</f>
        <v>0</v>
      </c>
      <c r="P37" s="718">
        <f>huishoudens!O12</f>
        <v>0</v>
      </c>
      <c r="Q37" s="828">
        <f>huishoudens!P12</f>
        <v>0</v>
      </c>
      <c r="R37" s="917">
        <f ca="1">SUM(C37:Q37)</f>
        <v>18139.182114816151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2437.0687034452726</v>
      </c>
      <c r="D39" s="718">
        <f ca="1">industrie!C22</f>
        <v>0</v>
      </c>
      <c r="E39" s="718">
        <f>industrie!D22</f>
        <v>5923.672363369622</v>
      </c>
      <c r="F39" s="718">
        <f>industrie!E22</f>
        <v>261.36046261684999</v>
      </c>
      <c r="G39" s="718">
        <f>industrie!F22</f>
        <v>981.89896950278751</v>
      </c>
      <c r="H39" s="718">
        <f>industrie!G22</f>
        <v>0</v>
      </c>
      <c r="I39" s="718">
        <f>industrie!H22</f>
        <v>0</v>
      </c>
      <c r="J39" s="718">
        <f>industrie!I22</f>
        <v>0</v>
      </c>
      <c r="K39" s="718">
        <f>industrie!J22</f>
        <v>12.054311046490527</v>
      </c>
      <c r="L39" s="718">
        <f>industrie!K22</f>
        <v>0</v>
      </c>
      <c r="M39" s="718">
        <f>industrie!L22</f>
        <v>0</v>
      </c>
      <c r="N39" s="718">
        <f>industrie!M22</f>
        <v>0</v>
      </c>
      <c r="O39" s="718">
        <f>industrie!N22</f>
        <v>0</v>
      </c>
      <c r="P39" s="718">
        <f>industrie!O22</f>
        <v>0</v>
      </c>
      <c r="Q39" s="828">
        <f>industrie!P22</f>
        <v>0</v>
      </c>
      <c r="R39" s="918">
        <f ca="1">SUM(C39:Q39)</f>
        <v>9616.0548099810239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8775.4872869264109</v>
      </c>
      <c r="D41" s="763">
        <f t="shared" ref="D41:R41" ca="1" si="4">SUM(D35:D40)</f>
        <v>0</v>
      </c>
      <c r="E41" s="763">
        <f t="shared" ca="1" si="4"/>
        <v>16309.22143351852</v>
      </c>
      <c r="F41" s="763">
        <f t="shared" si="4"/>
        <v>1450.9408834765322</v>
      </c>
      <c r="G41" s="763">
        <f t="shared" ca="1" si="4"/>
        <v>6813.9792898769947</v>
      </c>
      <c r="H41" s="763">
        <f t="shared" si="4"/>
        <v>0</v>
      </c>
      <c r="I41" s="763">
        <f t="shared" si="4"/>
        <v>0</v>
      </c>
      <c r="J41" s="763">
        <f t="shared" si="4"/>
        <v>0</v>
      </c>
      <c r="K41" s="763">
        <f t="shared" si="4"/>
        <v>757.2685320855187</v>
      </c>
      <c r="L41" s="763">
        <f t="shared" si="4"/>
        <v>0</v>
      </c>
      <c r="M41" s="763">
        <f t="shared" ca="1" si="4"/>
        <v>0</v>
      </c>
      <c r="N41" s="763">
        <f t="shared" si="4"/>
        <v>0</v>
      </c>
      <c r="O41" s="763">
        <f t="shared" ca="1" si="4"/>
        <v>0</v>
      </c>
      <c r="P41" s="763">
        <f t="shared" si="4"/>
        <v>0</v>
      </c>
      <c r="Q41" s="764">
        <f t="shared" si="4"/>
        <v>0</v>
      </c>
      <c r="R41" s="765">
        <f t="shared" ca="1" si="4"/>
        <v>34106.897425883981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101.93912624577708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101.93912624577708</v>
      </c>
    </row>
    <row r="45" spans="1:18" ht="15" thickBot="1">
      <c r="A45" s="888" t="s">
        <v>307</v>
      </c>
      <c r="B45" s="898"/>
      <c r="C45" s="727">
        <f ca="1">transport!B18</f>
        <v>3.1994977735774786</v>
      </c>
      <c r="D45" s="727">
        <f>transport!C18</f>
        <v>0</v>
      </c>
      <c r="E45" s="727">
        <f>transport!D18</f>
        <v>13.334707477923804</v>
      </c>
      <c r="F45" s="727">
        <f>transport!E18</f>
        <v>19.635979636117106</v>
      </c>
      <c r="G45" s="727">
        <f>transport!F18</f>
        <v>0</v>
      </c>
      <c r="H45" s="727">
        <f>transport!G18</f>
        <v>9342.1219692957511</v>
      </c>
      <c r="I45" s="727">
        <f>transport!H18</f>
        <v>1841.0793784098523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11219.371532593221</v>
      </c>
    </row>
    <row r="46" spans="1:18" ht="15.75" thickBot="1">
      <c r="A46" s="886" t="s">
        <v>230</v>
      </c>
      <c r="B46" s="899"/>
      <c r="C46" s="763">
        <f t="shared" ref="C46:R46" ca="1" si="5">SUM(C43:C45)</f>
        <v>3.1994977735774786</v>
      </c>
      <c r="D46" s="763">
        <f t="shared" ca="1" si="5"/>
        <v>0</v>
      </c>
      <c r="E46" s="763">
        <f t="shared" si="5"/>
        <v>13.334707477923804</v>
      </c>
      <c r="F46" s="763">
        <f t="shared" si="5"/>
        <v>19.635979636117106</v>
      </c>
      <c r="G46" s="763">
        <f t="shared" si="5"/>
        <v>0</v>
      </c>
      <c r="H46" s="763">
        <f t="shared" si="5"/>
        <v>9444.0610955415286</v>
      </c>
      <c r="I46" s="763">
        <f t="shared" si="5"/>
        <v>1841.0793784098523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11321.310658838998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720.04760536541266</v>
      </c>
      <c r="D48" s="718">
        <f ca="1">+landbouw!C12</f>
        <v>0</v>
      </c>
      <c r="E48" s="718">
        <f>+landbouw!D12</f>
        <v>182.99669474255481</v>
      </c>
      <c r="F48" s="718">
        <f>+landbouw!E12</f>
        <v>25.057893727754319</v>
      </c>
      <c r="G48" s="718">
        <f>+landbouw!F12</f>
        <v>4177.3309317812318</v>
      </c>
      <c r="H48" s="718">
        <f>+landbouw!G12</f>
        <v>0</v>
      </c>
      <c r="I48" s="718">
        <f>+landbouw!H12</f>
        <v>0</v>
      </c>
      <c r="J48" s="718">
        <f>+landbouw!I12</f>
        <v>0</v>
      </c>
      <c r="K48" s="718">
        <f>+landbouw!J12</f>
        <v>192.61107946372636</v>
      </c>
      <c r="L48" s="718">
        <f>+landbouw!K12</f>
        <v>0</v>
      </c>
      <c r="M48" s="718">
        <f>+landbouw!L12</f>
        <v>0</v>
      </c>
      <c r="N48" s="718">
        <f>+landbouw!M12</f>
        <v>0</v>
      </c>
      <c r="O48" s="718">
        <f>+landbouw!N12</f>
        <v>0</v>
      </c>
      <c r="P48" s="718">
        <f>+landbouw!O12</f>
        <v>0</v>
      </c>
      <c r="Q48" s="719">
        <f>+landbouw!P12</f>
        <v>0</v>
      </c>
      <c r="R48" s="761">
        <f ca="1">SUM(C48:Q48)</f>
        <v>5298.0442050806796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9498.7343900654014</v>
      </c>
      <c r="D53" s="773">
        <f t="shared" ref="D53:Q53" ca="1" si="6">D41+D46+D48</f>
        <v>0</v>
      </c>
      <c r="E53" s="773">
        <f t="shared" ca="1" si="6"/>
        <v>16505.552835738999</v>
      </c>
      <c r="F53" s="773">
        <f t="shared" si="6"/>
        <v>1495.6347568404037</v>
      </c>
      <c r="G53" s="773">
        <f t="shared" ca="1" si="6"/>
        <v>10991.310221658227</v>
      </c>
      <c r="H53" s="773">
        <f t="shared" si="6"/>
        <v>9444.0610955415286</v>
      </c>
      <c r="I53" s="773">
        <f t="shared" si="6"/>
        <v>1841.0793784098523</v>
      </c>
      <c r="J53" s="773">
        <f t="shared" si="6"/>
        <v>0</v>
      </c>
      <c r="K53" s="773">
        <f t="shared" si="6"/>
        <v>949.87961154924506</v>
      </c>
      <c r="L53" s="773">
        <f t="shared" si="6"/>
        <v>0</v>
      </c>
      <c r="M53" s="773">
        <f t="shared" ca="1" si="6"/>
        <v>0</v>
      </c>
      <c r="N53" s="773">
        <f t="shared" si="6"/>
        <v>0</v>
      </c>
      <c r="O53" s="773">
        <f t="shared" ca="1" si="6"/>
        <v>0</v>
      </c>
      <c r="P53" s="773">
        <f>P41+P46+P48</f>
        <v>0</v>
      </c>
      <c r="Q53" s="774">
        <f t="shared" si="6"/>
        <v>0</v>
      </c>
      <c r="R53" s="775">
        <f ca="1">R41+R46+R48</f>
        <v>50726.252289803662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0.19172874181709954</v>
      </c>
      <c r="D55" s="836">
        <f t="shared" ca="1" si="7"/>
        <v>0</v>
      </c>
      <c r="E55" s="836">
        <f t="shared" ca="1" si="7"/>
        <v>0.20199999999999999</v>
      </c>
      <c r="F55" s="836">
        <f t="shared" si="7"/>
        <v>0.22699999999999998</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6561.8702423416144</v>
      </c>
      <c r="C66" s="795">
        <f>'lokale energieproductie'!B6</f>
        <v>6561.8702423416144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6561.8702423416144</v>
      </c>
      <c r="C69" s="803">
        <f>SUM(C64:C68)</f>
        <v>6561.8702423416144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18538.961614655782</v>
      </c>
      <c r="C4" s="478">
        <f>huishoudens!C8</f>
        <v>0</v>
      </c>
      <c r="D4" s="478">
        <f>huishoudens!D8</f>
        <v>37546.09584436212</v>
      </c>
      <c r="E4" s="478">
        <f>huishoudens!E8</f>
        <v>5044.3397240610684</v>
      </c>
      <c r="F4" s="478">
        <f>huishoudens!F8</f>
        <v>19139.210314056323</v>
      </c>
      <c r="G4" s="478">
        <f>huishoudens!G8</f>
        <v>0</v>
      </c>
      <c r="H4" s="478">
        <f>huishoudens!H8</f>
        <v>0</v>
      </c>
      <c r="I4" s="478">
        <f>huishoudens!I8</f>
        <v>0</v>
      </c>
      <c r="J4" s="478">
        <f>huishoudens!J8</f>
        <v>2105.0415199622776</v>
      </c>
      <c r="K4" s="478">
        <f>huishoudens!K8</f>
        <v>0</v>
      </c>
      <c r="L4" s="478">
        <f>huishoudens!L8</f>
        <v>0</v>
      </c>
      <c r="M4" s="478">
        <f>huishoudens!M8</f>
        <v>0</v>
      </c>
      <c r="N4" s="478">
        <f>huishoudens!N8</f>
        <v>12674.59937909104</v>
      </c>
      <c r="O4" s="478">
        <f>huishoudens!O8</f>
        <v>200.10666666666668</v>
      </c>
      <c r="P4" s="479">
        <f>huishoudens!P8</f>
        <v>266.93333333333334</v>
      </c>
      <c r="Q4" s="480">
        <f>SUM(B4:P4)</f>
        <v>95515.288396188625</v>
      </c>
    </row>
    <row r="5" spans="1:17">
      <c r="A5" s="477" t="s">
        <v>156</v>
      </c>
      <c r="B5" s="478">
        <f ca="1">tertiair!B16</f>
        <v>13982.709458055675</v>
      </c>
      <c r="C5" s="478">
        <f ca="1">tertiair!C16</f>
        <v>0</v>
      </c>
      <c r="D5" s="478">
        <f ca="1">tertiair!D16</f>
        <v>13867.51341380074</v>
      </c>
      <c r="E5" s="478">
        <f>tertiair!E16</f>
        <v>196.10265858070414</v>
      </c>
      <c r="F5" s="478">
        <f ca="1">tertiair!F16</f>
        <v>2703.7871405287206</v>
      </c>
      <c r="G5" s="478">
        <f>tertiair!G16</f>
        <v>0</v>
      </c>
      <c r="H5" s="478">
        <f>tertiair!H16</f>
        <v>0</v>
      </c>
      <c r="I5" s="478">
        <f>tertiair!I16</f>
        <v>0</v>
      </c>
      <c r="J5" s="478">
        <f>tertiair!J16</f>
        <v>8.339822706762412E-2</v>
      </c>
      <c r="K5" s="478">
        <f>tertiair!K16</f>
        <v>0</v>
      </c>
      <c r="L5" s="478">
        <f ca="1">tertiair!L16</f>
        <v>0</v>
      </c>
      <c r="M5" s="478">
        <f>tertiair!M16</f>
        <v>0</v>
      </c>
      <c r="N5" s="478">
        <f ca="1">tertiair!N16</f>
        <v>3280.6648556199289</v>
      </c>
      <c r="O5" s="478">
        <f>tertiair!O16</f>
        <v>0</v>
      </c>
      <c r="P5" s="479">
        <f>tertiair!P16</f>
        <v>0</v>
      </c>
      <c r="Q5" s="477">
        <f t="shared" ref="Q5:Q13" ca="1" si="0">SUM(B5:P5)</f>
        <v>34030.860924812834</v>
      </c>
    </row>
    <row r="6" spans="1:17">
      <c r="A6" s="477" t="s">
        <v>194</v>
      </c>
      <c r="B6" s="478">
        <f>'openbare verlichting'!B8</f>
        <v>537.63199999999995</v>
      </c>
      <c r="C6" s="478"/>
      <c r="D6" s="478"/>
      <c r="E6" s="478"/>
      <c r="F6" s="478"/>
      <c r="G6" s="478"/>
      <c r="H6" s="478"/>
      <c r="I6" s="478"/>
      <c r="J6" s="478"/>
      <c r="K6" s="478"/>
      <c r="L6" s="478"/>
      <c r="M6" s="478"/>
      <c r="N6" s="478"/>
      <c r="O6" s="478"/>
      <c r="P6" s="479"/>
      <c r="Q6" s="477">
        <f t="shared" si="0"/>
        <v>537.63199999999995</v>
      </c>
    </row>
    <row r="7" spans="1:17">
      <c r="A7" s="477" t="s">
        <v>112</v>
      </c>
      <c r="B7" s="478">
        <f>landbouw!B8</f>
        <v>3755.5538024252273</v>
      </c>
      <c r="C7" s="478">
        <f>landbouw!C8</f>
        <v>0</v>
      </c>
      <c r="D7" s="478">
        <f>landbouw!D8</f>
        <v>905.92423139878611</v>
      </c>
      <c r="E7" s="478">
        <f>landbouw!E8</f>
        <v>110.38719703856528</v>
      </c>
      <c r="F7" s="478">
        <f>landbouw!F8</f>
        <v>15645.434201427834</v>
      </c>
      <c r="G7" s="478">
        <f>landbouw!G8</f>
        <v>0</v>
      </c>
      <c r="H7" s="478">
        <f>landbouw!H8</f>
        <v>0</v>
      </c>
      <c r="I7" s="478">
        <f>landbouw!I8</f>
        <v>0</v>
      </c>
      <c r="J7" s="478">
        <f>landbouw!J8</f>
        <v>544.09909453030048</v>
      </c>
      <c r="K7" s="478">
        <f>landbouw!K8</f>
        <v>0</v>
      </c>
      <c r="L7" s="478">
        <f>landbouw!L8</f>
        <v>0</v>
      </c>
      <c r="M7" s="478">
        <f>landbouw!M8</f>
        <v>0</v>
      </c>
      <c r="N7" s="478">
        <f>landbouw!N8</f>
        <v>0</v>
      </c>
      <c r="O7" s="478">
        <f>landbouw!O8</f>
        <v>0</v>
      </c>
      <c r="P7" s="479">
        <f>landbouw!P8</f>
        <v>0</v>
      </c>
      <c r="Q7" s="477">
        <f t="shared" si="0"/>
        <v>20961.398526820714</v>
      </c>
    </row>
    <row r="8" spans="1:17">
      <c r="A8" s="477" t="s">
        <v>635</v>
      </c>
      <c r="B8" s="478">
        <f>industrie!B18</f>
        <v>12711.024337551464</v>
      </c>
      <c r="C8" s="478">
        <f>industrie!C18</f>
        <v>0</v>
      </c>
      <c r="D8" s="478">
        <f>industrie!D18</f>
        <v>29325.110709750603</v>
      </c>
      <c r="E8" s="478">
        <f>industrie!E18</f>
        <v>1151.3676767262114</v>
      </c>
      <c r="F8" s="478">
        <f>industrie!F18</f>
        <v>3677.5242303475184</v>
      </c>
      <c r="G8" s="478">
        <f>industrie!G18</f>
        <v>0</v>
      </c>
      <c r="H8" s="478">
        <f>industrie!H18</f>
        <v>0</v>
      </c>
      <c r="I8" s="478">
        <f>industrie!I18</f>
        <v>0</v>
      </c>
      <c r="J8" s="478">
        <f>industrie!J18</f>
        <v>34.051726120029741</v>
      </c>
      <c r="K8" s="478">
        <f>industrie!K18</f>
        <v>0</v>
      </c>
      <c r="L8" s="478">
        <f>industrie!L18</f>
        <v>0</v>
      </c>
      <c r="M8" s="478">
        <f>industrie!M18</f>
        <v>0</v>
      </c>
      <c r="N8" s="478">
        <f>industrie!N18</f>
        <v>2984.9492435269444</v>
      </c>
      <c r="O8" s="478">
        <f>industrie!O18</f>
        <v>0</v>
      </c>
      <c r="P8" s="479">
        <f>industrie!P18</f>
        <v>0</v>
      </c>
      <c r="Q8" s="477">
        <f t="shared" si="0"/>
        <v>49884.027924022768</v>
      </c>
    </row>
    <row r="9" spans="1:17" s="483" customFormat="1">
      <c r="A9" s="481" t="s">
        <v>561</v>
      </c>
      <c r="B9" s="482">
        <f>transport!B14</f>
        <v>16.687627234468863</v>
      </c>
      <c r="C9" s="482">
        <f>transport!C14</f>
        <v>0</v>
      </c>
      <c r="D9" s="482">
        <f>transport!D14</f>
        <v>66.013403356058433</v>
      </c>
      <c r="E9" s="482">
        <f>transport!E14</f>
        <v>86.502112934436582</v>
      </c>
      <c r="F9" s="482">
        <f>transport!F14</f>
        <v>0</v>
      </c>
      <c r="G9" s="482">
        <f>transport!G14</f>
        <v>34989.220858785586</v>
      </c>
      <c r="H9" s="482">
        <f>transport!H14</f>
        <v>7393.8930859833426</v>
      </c>
      <c r="I9" s="482">
        <f>transport!I14</f>
        <v>0</v>
      </c>
      <c r="J9" s="482">
        <f>transport!J14</f>
        <v>0</v>
      </c>
      <c r="K9" s="482">
        <f>transport!K14</f>
        <v>0</v>
      </c>
      <c r="L9" s="482">
        <f>transport!L14</f>
        <v>0</v>
      </c>
      <c r="M9" s="482">
        <f>transport!M14</f>
        <v>2263.7157856411004</v>
      </c>
      <c r="N9" s="482">
        <f>transport!N14</f>
        <v>0</v>
      </c>
      <c r="O9" s="482">
        <f>transport!O14</f>
        <v>0</v>
      </c>
      <c r="P9" s="482">
        <f>transport!P14</f>
        <v>0</v>
      </c>
      <c r="Q9" s="481">
        <f>SUM(B9:P9)</f>
        <v>44816.032873934993</v>
      </c>
    </row>
    <row r="10" spans="1:17">
      <c r="A10" s="477" t="s">
        <v>551</v>
      </c>
      <c r="B10" s="478">
        <f>transport!B54</f>
        <v>0</v>
      </c>
      <c r="C10" s="478">
        <f>transport!C54</f>
        <v>0</v>
      </c>
      <c r="D10" s="478">
        <f>transport!D54</f>
        <v>0</v>
      </c>
      <c r="E10" s="478">
        <f>transport!E54</f>
        <v>0</v>
      </c>
      <c r="F10" s="478">
        <f>transport!F54</f>
        <v>0</v>
      </c>
      <c r="G10" s="478">
        <f>transport!G54</f>
        <v>381.79448032126243</v>
      </c>
      <c r="H10" s="478">
        <f>transport!H54</f>
        <v>0</v>
      </c>
      <c r="I10" s="478">
        <f>transport!I54</f>
        <v>0</v>
      </c>
      <c r="J10" s="478">
        <f>transport!J54</f>
        <v>0</v>
      </c>
      <c r="K10" s="478">
        <f>transport!K54</f>
        <v>0</v>
      </c>
      <c r="L10" s="478">
        <f>transport!L54</f>
        <v>0</v>
      </c>
      <c r="M10" s="478">
        <f>transport!M54</f>
        <v>21.68424102135112</v>
      </c>
      <c r="N10" s="478">
        <f>transport!N54</f>
        <v>0</v>
      </c>
      <c r="O10" s="478">
        <f>transport!O54</f>
        <v>0</v>
      </c>
      <c r="P10" s="479">
        <f>transport!P54</f>
        <v>0</v>
      </c>
      <c r="Q10" s="477">
        <f t="shared" si="0"/>
        <v>403.47872134261354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49542.568839922613</v>
      </c>
      <c r="C14" s="488">
        <f t="shared" ref="C14:Q14" ca="1" si="1">SUM(C4:C13)</f>
        <v>0</v>
      </c>
      <c r="D14" s="488">
        <f t="shared" ca="1" si="1"/>
        <v>81710.657602668318</v>
      </c>
      <c r="E14" s="488">
        <f t="shared" si="1"/>
        <v>6588.6993693409859</v>
      </c>
      <c r="F14" s="488">
        <f t="shared" ca="1" si="1"/>
        <v>41165.955886360396</v>
      </c>
      <c r="G14" s="488">
        <f t="shared" si="1"/>
        <v>35371.015339106845</v>
      </c>
      <c r="H14" s="488">
        <f t="shared" si="1"/>
        <v>7393.8930859833426</v>
      </c>
      <c r="I14" s="488">
        <f t="shared" si="1"/>
        <v>0</v>
      </c>
      <c r="J14" s="488">
        <f t="shared" si="1"/>
        <v>2683.2757388396758</v>
      </c>
      <c r="K14" s="488">
        <f t="shared" si="1"/>
        <v>0</v>
      </c>
      <c r="L14" s="488">
        <f t="shared" ca="1" si="1"/>
        <v>0</v>
      </c>
      <c r="M14" s="488">
        <f t="shared" si="1"/>
        <v>2285.4000266624516</v>
      </c>
      <c r="N14" s="488">
        <f t="shared" ca="1" si="1"/>
        <v>18940.213478237914</v>
      </c>
      <c r="O14" s="488">
        <f t="shared" si="1"/>
        <v>200.10666666666668</v>
      </c>
      <c r="P14" s="489">
        <f t="shared" si="1"/>
        <v>266.93333333333334</v>
      </c>
      <c r="Q14" s="489">
        <f t="shared" ca="1" si="1"/>
        <v>246148.71936712254</v>
      </c>
    </row>
    <row r="16" spans="1:17">
      <c r="A16" s="491" t="s">
        <v>556</v>
      </c>
      <c r="B16" s="841">
        <f ca="1">huishoudens!B10</f>
        <v>0.19172874181709948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3554.4517849734561</v>
      </c>
      <c r="C21" s="478">
        <f t="shared" ref="C21:C30" ca="1" si="3">C4*$C$16</f>
        <v>0</v>
      </c>
      <c r="D21" s="478">
        <f t="shared" ref="D21:D30" si="4">D4*$D$16</f>
        <v>7584.3113605611488</v>
      </c>
      <c r="E21" s="478">
        <f t="shared" ref="E21:E30" si="5">E4*$E$16</f>
        <v>1145.0651173618626</v>
      </c>
      <c r="F21" s="478">
        <f t="shared" ref="F21:F30" si="6">F4*$F$16</f>
        <v>5110.1691538530386</v>
      </c>
      <c r="G21" s="478">
        <f t="shared" ref="G21:G30" si="7">G4*$G$16</f>
        <v>0</v>
      </c>
      <c r="H21" s="478">
        <f t="shared" ref="H21:H30" si="8">H4*$H$16</f>
        <v>0</v>
      </c>
      <c r="I21" s="478">
        <f t="shared" ref="I21:I30" si="9">I4*$I$16</f>
        <v>0</v>
      </c>
      <c r="J21" s="478">
        <f t="shared" ref="J21:J30" si="10">J4*$J$16</f>
        <v>745.18469806664621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18139.182114816151</v>
      </c>
    </row>
    <row r="22" spans="1:17">
      <c r="A22" s="477" t="s">
        <v>156</v>
      </c>
      <c r="B22" s="478">
        <f t="shared" ca="1" si="2"/>
        <v>2680.8872915870716</v>
      </c>
      <c r="C22" s="478">
        <f t="shared" ca="1" si="3"/>
        <v>0</v>
      </c>
      <c r="D22" s="478">
        <f t="shared" ca="1" si="4"/>
        <v>2801.2377095877496</v>
      </c>
      <c r="E22" s="478">
        <f t="shared" si="5"/>
        <v>44.515303497819843</v>
      </c>
      <c r="F22" s="478">
        <f t="shared" ca="1" si="6"/>
        <v>721.91116652116841</v>
      </c>
      <c r="G22" s="478">
        <f t="shared" si="7"/>
        <v>0</v>
      </c>
      <c r="H22" s="478">
        <f t="shared" si="8"/>
        <v>0</v>
      </c>
      <c r="I22" s="478">
        <f t="shared" si="9"/>
        <v>0</v>
      </c>
      <c r="J22" s="478">
        <f t="shared" si="10"/>
        <v>2.9522972381938937E-2</v>
      </c>
      <c r="K22" s="478">
        <f t="shared" si="11"/>
        <v>0</v>
      </c>
      <c r="L22" s="478">
        <f t="shared" ca="1" si="12"/>
        <v>0</v>
      </c>
      <c r="M22" s="478">
        <f t="shared" si="13"/>
        <v>0</v>
      </c>
      <c r="N22" s="478">
        <f t="shared" ca="1" si="14"/>
        <v>0</v>
      </c>
      <c r="O22" s="478">
        <f t="shared" si="15"/>
        <v>0</v>
      </c>
      <c r="P22" s="479">
        <f t="shared" si="16"/>
        <v>0</v>
      </c>
      <c r="Q22" s="477">
        <f t="shared" ref="Q22:Q30" ca="1" si="17">SUM(B22:P22)</f>
        <v>6248.5809941661919</v>
      </c>
    </row>
    <row r="23" spans="1:17">
      <c r="A23" s="477" t="s">
        <v>194</v>
      </c>
      <c r="B23" s="478">
        <f t="shared" ca="1" si="2"/>
        <v>103.07950692061081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103.07950692061081</v>
      </c>
    </row>
    <row r="24" spans="1:17">
      <c r="A24" s="477" t="s">
        <v>112</v>
      </c>
      <c r="B24" s="478">
        <f t="shared" ca="1" si="2"/>
        <v>720.04760536541266</v>
      </c>
      <c r="C24" s="478">
        <f t="shared" ca="1" si="3"/>
        <v>0</v>
      </c>
      <c r="D24" s="478">
        <f t="shared" si="4"/>
        <v>182.99669474255481</v>
      </c>
      <c r="E24" s="478">
        <f t="shared" si="5"/>
        <v>25.057893727754319</v>
      </c>
      <c r="F24" s="478">
        <f t="shared" si="6"/>
        <v>4177.3309317812318</v>
      </c>
      <c r="G24" s="478">
        <f t="shared" si="7"/>
        <v>0</v>
      </c>
      <c r="H24" s="478">
        <f t="shared" si="8"/>
        <v>0</v>
      </c>
      <c r="I24" s="478">
        <f t="shared" si="9"/>
        <v>0</v>
      </c>
      <c r="J24" s="478">
        <f t="shared" si="10"/>
        <v>192.61107946372636</v>
      </c>
      <c r="K24" s="478">
        <f t="shared" si="11"/>
        <v>0</v>
      </c>
      <c r="L24" s="478">
        <f t="shared" si="12"/>
        <v>0</v>
      </c>
      <c r="M24" s="478">
        <f t="shared" si="13"/>
        <v>0</v>
      </c>
      <c r="N24" s="478">
        <f t="shared" si="14"/>
        <v>0</v>
      </c>
      <c r="O24" s="478">
        <f t="shared" si="15"/>
        <v>0</v>
      </c>
      <c r="P24" s="479">
        <f t="shared" si="16"/>
        <v>0</v>
      </c>
      <c r="Q24" s="477">
        <f t="shared" ca="1" si="17"/>
        <v>5298.0442050806796</v>
      </c>
    </row>
    <row r="25" spans="1:17">
      <c r="A25" s="477" t="s">
        <v>635</v>
      </c>
      <c r="B25" s="478">
        <f t="shared" ca="1" si="2"/>
        <v>2437.0687034452726</v>
      </c>
      <c r="C25" s="478">
        <f t="shared" ca="1" si="3"/>
        <v>0</v>
      </c>
      <c r="D25" s="478">
        <f t="shared" si="4"/>
        <v>5923.672363369622</v>
      </c>
      <c r="E25" s="478">
        <f t="shared" si="5"/>
        <v>261.36046261684999</v>
      </c>
      <c r="F25" s="478">
        <f t="shared" si="6"/>
        <v>981.89896950278751</v>
      </c>
      <c r="G25" s="478">
        <f t="shared" si="7"/>
        <v>0</v>
      </c>
      <c r="H25" s="478">
        <f t="shared" si="8"/>
        <v>0</v>
      </c>
      <c r="I25" s="478">
        <f t="shared" si="9"/>
        <v>0</v>
      </c>
      <c r="J25" s="478">
        <f t="shared" si="10"/>
        <v>12.054311046490527</v>
      </c>
      <c r="K25" s="478">
        <f t="shared" si="11"/>
        <v>0</v>
      </c>
      <c r="L25" s="478">
        <f t="shared" si="12"/>
        <v>0</v>
      </c>
      <c r="M25" s="478">
        <f t="shared" si="13"/>
        <v>0</v>
      </c>
      <c r="N25" s="478">
        <f t="shared" si="14"/>
        <v>0</v>
      </c>
      <c r="O25" s="478">
        <f t="shared" si="15"/>
        <v>0</v>
      </c>
      <c r="P25" s="479">
        <f t="shared" si="16"/>
        <v>0</v>
      </c>
      <c r="Q25" s="477">
        <f t="shared" ca="1" si="17"/>
        <v>9616.0548099810239</v>
      </c>
    </row>
    <row r="26" spans="1:17" s="483" customFormat="1">
      <c r="A26" s="481" t="s">
        <v>561</v>
      </c>
      <c r="B26" s="835">
        <f t="shared" ca="1" si="2"/>
        <v>3.1994977735774786</v>
      </c>
      <c r="C26" s="482">
        <f t="shared" ca="1" si="3"/>
        <v>0</v>
      </c>
      <c r="D26" s="482">
        <f t="shared" si="4"/>
        <v>13.334707477923804</v>
      </c>
      <c r="E26" s="482">
        <f t="shared" si="5"/>
        <v>19.635979636117106</v>
      </c>
      <c r="F26" s="482">
        <f t="shared" si="6"/>
        <v>0</v>
      </c>
      <c r="G26" s="482">
        <f t="shared" si="7"/>
        <v>9342.1219692957511</v>
      </c>
      <c r="H26" s="482">
        <f t="shared" si="8"/>
        <v>1841.0793784098523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11219.371532593221</v>
      </c>
    </row>
    <row r="27" spans="1:17">
      <c r="A27" s="477" t="s">
        <v>551</v>
      </c>
      <c r="B27" s="478">
        <f t="shared" ca="1" si="2"/>
        <v>0</v>
      </c>
      <c r="C27" s="478">
        <f t="shared" ca="1" si="3"/>
        <v>0</v>
      </c>
      <c r="D27" s="478">
        <f t="shared" si="4"/>
        <v>0</v>
      </c>
      <c r="E27" s="478">
        <f t="shared" si="5"/>
        <v>0</v>
      </c>
      <c r="F27" s="478">
        <f t="shared" si="6"/>
        <v>0</v>
      </c>
      <c r="G27" s="478">
        <f t="shared" si="7"/>
        <v>101.93912624577708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101.93912624577708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9498.7343900654014</v>
      </c>
      <c r="C31" s="488">
        <f t="shared" ca="1" si="18"/>
        <v>0</v>
      </c>
      <c r="D31" s="488">
        <f t="shared" ca="1" si="18"/>
        <v>16505.552835738999</v>
      </c>
      <c r="E31" s="488">
        <f t="shared" si="18"/>
        <v>1495.634756840404</v>
      </c>
      <c r="F31" s="488">
        <f t="shared" ca="1" si="18"/>
        <v>10991.310221658225</v>
      </c>
      <c r="G31" s="488">
        <f t="shared" si="18"/>
        <v>9444.0610955415286</v>
      </c>
      <c r="H31" s="488">
        <f t="shared" si="18"/>
        <v>1841.0793784098523</v>
      </c>
      <c r="I31" s="488">
        <f t="shared" si="18"/>
        <v>0</v>
      </c>
      <c r="J31" s="488">
        <f t="shared" si="18"/>
        <v>949.87961154924506</v>
      </c>
      <c r="K31" s="488">
        <f t="shared" si="18"/>
        <v>0</v>
      </c>
      <c r="L31" s="488">
        <f t="shared" ca="1" si="18"/>
        <v>0</v>
      </c>
      <c r="M31" s="488">
        <f t="shared" si="18"/>
        <v>0</v>
      </c>
      <c r="N31" s="488">
        <f t="shared" ca="1" si="18"/>
        <v>0</v>
      </c>
      <c r="O31" s="488">
        <f t="shared" si="18"/>
        <v>0</v>
      </c>
      <c r="P31" s="489">
        <f t="shared" si="18"/>
        <v>0</v>
      </c>
      <c r="Q31" s="489">
        <f t="shared" ca="1" si="18"/>
        <v>50726.252289803655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0.19172874181709948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0.19172874181709948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0.19172874181709948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2018-09-06T12:48:03Z</dcterms:modified>
</cp:coreProperties>
</file>