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56" i="22"/>
  <c r="C58" s="1"/>
  <c r="D44" i="14" s="1"/>
  <c r="D46" s="1"/>
  <c r="C16" i="22"/>
  <c r="O13" i="14"/>
  <c r="O15" s="1"/>
  <c r="C10" i="13"/>
  <c r="C16" i="48" s="1"/>
  <c r="C30" s="1"/>
  <c r="F41" i="14"/>
  <c r="F53" s="1"/>
  <c r="C17" i="19"/>
  <c r="C19" s="1"/>
  <c r="D35" i="14" s="1"/>
  <c r="C17" i="49"/>
  <c r="C10" i="17"/>
  <c r="C12" s="1"/>
  <c r="D48" i="14" s="1"/>
  <c r="Q5" i="48"/>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24" i="48"/>
  <c r="C27"/>
  <c r="C28"/>
  <c r="C22"/>
  <c r="C25"/>
  <c r="R13" i="14"/>
  <c r="R15" s="1"/>
  <c r="F25" i="48"/>
  <c r="F31" s="1"/>
  <c r="F14"/>
  <c r="C29" l="1"/>
  <c r="C2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<sst xmlns="http://schemas.openxmlformats.org/spreadsheetml/2006/main" count="1923" uniqueCount="816">
  <si>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</si>
  <si>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</si>
  <si>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</si>
  <si>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</si>
  <si>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</si>
  <si>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</si>
  <si>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</si>
  <si>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</si>
  <si>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</si>
  <si>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</si>
  <si>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</si>
  <si>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</si>
  <si>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</si>
  <si>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</si>
  <si>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</si>
  <si>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</si>
  <si>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</si>
  <si>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</si>
  <si>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</si>
  <si>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</si>
  <si>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</si>
  <si>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</si>
  <si>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</si>
  <si>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</si>
  <si>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</si>
  <si>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</si>
  <si>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</si>
  <si>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</si>
  <si>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</si>
  <si>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</si>
  <si>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</si>
  <si>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</si>
  <si>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</si>
  <si>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</si>
  <si>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</si>
  <si>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</si>
  <si>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</si>
  <si>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</si>
  <si>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</si>
  <si>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</si>
  <si>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</si>
  <si>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</si>
  <si>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</si>
  <si>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</si>
  <si>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</si>
  <si>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</si>
  <si>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</si>
  <si>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</si>
  <si>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</si>
  <si>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</si>
  <si>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</si>
  <si>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</si>
  <si>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</si>
  <si>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</si>
  <si>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</si>
  <si>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</si>
  <si>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</si>
  <si>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</si>
  <si>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</si>
  <si>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</si>
  <si>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</si>
  <si>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</si>
  <si>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</si>
  <si>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</si>
  <si>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</si>
  <si>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</si>
  <si>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</si>
  <si>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</si>
  <si>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</si>
  <si>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</si>
  <si>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</si>
  <si>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</si>
  <si>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</si>
  <si>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</si>
  <si>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</si>
  <si>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</si>
  <si>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</si>
  <si>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</si>
  <si>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</si>
  <si>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</si>
  <si>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</si>
  <si>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</si>
  <si>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</si>
  <si>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</si>
  <si>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</si>
  <si>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</si>
  <si>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</si>
  <si>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</si>
  <si>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</si>
  <si>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</si>
  <si>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</si>
  <si>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</si>
  <si>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</si>
  <si>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</si>
  <si>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</si>
  <si>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</si>
  <si>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</si>
  <si>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</si>
  <si>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</si>
  <si>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</si>
  <si>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</si>
  <si>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</si>
  <si>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</si>
  <si>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</si>
  <si>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</si>
  <si>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</si>
  <si>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</si>
  <si>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</si>
  <si>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</si>
  <si>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</si>
  <si>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</si>
  <si>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</si>
  <si>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</si>
  <si>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</si>
  <si>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</si>
  <si>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</si>
  <si>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</si>
  <si>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</si>
  <si>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</si>
  <si>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</si>
  <si>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</si>
  <si>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</si>
  <si>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</si>
  <si>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</si>
  <si>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</si>
  <si>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</si>
  <si>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</si>
  <si>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</si>
  <si>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</si>
  <si>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</si>
  <si>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</si>
  <si>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</si>
  <si>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</si>
  <si>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</si>
  <si>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</si>
  <si>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</si>
  <si>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</si>
  <si>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</si>
  <si>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</si>
  <si>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</si>
  <si>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</si>
  <si>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</si>
  <si>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</si>
  <si>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</si>
  <si>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</si>
  <si>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</si>
  <si>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</si>
  <si>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</si>
  <si>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</si>
  <si>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</si>
  <si>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</si>
  <si>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</si>
  <si>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</si>
  <si>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</si>
  <si>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</si>
  <si>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</si>
  <si>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</si>
  <si>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</si>
  <si>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</si>
  <si>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</si>
  <si>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</si>
  <si>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</si>
  <si>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</si>
  <si>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</si>
  <si>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</si>
  <si>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</si>
  <si>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</si>
  <si>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</si>
  <si>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</si>
  <si>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</si>
  <si>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</si>
  <si>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</si>
  <si>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</si>
  <si>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</si>
  <si>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</si>
  <si>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</si>
  <si>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</si>
  <si>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</si>
  <si>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</si>
  <si>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</si>
  <si>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</si>
  <si>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</si>
  <si>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</si>
  <si>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</si>
  <si>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</si>
  <si>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</si>
  <si>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</si>
  <si>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</si>
  <si>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</si>
  <si>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</si>
  <si>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</si>
  <si>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</si>
  <si>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</si>
  <si>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</si>
  <si>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</si>
  <si>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</si>
  <si>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</si>
  <si>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</si>
  <si>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</si>
  <si>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</si>
  <si>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</si>
  <si>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</si>
  <si>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</si>
  <si>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</si>
  <si>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</si>
  <si>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</si>
  <si>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</si>
  <si>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</si>
  <si>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</si>
  <si>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</si>
  <si>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</si>
  <si>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</si>
  <si>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</si>
  <si>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</si>
  <si>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</si>
  <si>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</si>
  <si>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</si>
  <si>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</si>
  <si>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</si>
  <si>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</si>
  <si>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</si>
  <si>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</si>
  <si>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</si>
  <si>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</si>
  <si>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</si>
  <si>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</si>
  <si>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</si>
  <si>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</si>
  <si>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</si>
  <si>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</si>
  <si>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</si>
  <si>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</si>
  <si>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</si>
  <si>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</si>
  <si>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</si>
  <si>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</si>
  <si>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</si>
  <si>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</si>
  <si>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</si>
  <si>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</si>
  <si>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</si>
  <si>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</si>
  <si>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</si>
  <si>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</si>
  <si>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</si>
  <si>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</si>
  <si>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</si>
  <si>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</si>
  <si>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</si>
  <si>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</si>
  <si>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</si>
  <si>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</si>
  <si>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</si>
  <si>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</si>
  <si>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</si>
  <si>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</si>
  <si>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</si>
  <si>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</si>
  <si>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</si>
  <si>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</si>
  <si>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</si>
  <si>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</si>
  <si>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</si>
  <si>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</si>
  <si>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</si>
  <si>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</si>
  <si>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</si>
  <si>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</si>
  <si>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</si>
  <si>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</si>
  <si>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</si>
  <si>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</si>
  <si>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</si>
  <si>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</si>
  <si>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</si>
  <si>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</si>
  <si>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</si>
  <si>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</si>
  <si>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</si>
  <si>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</si>
  <si>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</si>
  <si>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</si>
  <si>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</si>
  <si>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</si>
  <si>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</si>
  <si>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</si>
  <si>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</si>
  <si>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</si>
  <si>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</si>
  <si>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</si>
  <si>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</si>
  <si>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</si>
  <si>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</si>
  <si>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</si>
  <si>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</si>
  <si>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</si>
  <si>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</si>
  <si>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</si>
  <si>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</si>
  <si>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</si>
  <si>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</si>
  <si>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</si>
  <si>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</si>
  <si>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</si>
  <si>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</si>
  <si>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</si>
  <si>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</si>
  <si>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</si>
  <si>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</si>
  <si>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</si>
  <si>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</si>
  <si>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</si>
  <si>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</si>
  <si>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</si>
  <si>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</si>
  <si>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</si>
  <si>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</si>
  <si>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</si>
  <si>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</si>
  <si>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</si>
  <si>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</si>
  <si>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</si>
  <si>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</si>
  <si>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</si>
  <si>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</si>
  <si>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</si>
  <si>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</si>
  <si>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</si>
  <si>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</si>
  <si>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</si>
  <si>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</si>
  <si>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</si>
  <si>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</si>
  <si>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</si>
  <si>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</si>
  <si>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</si>
  <si>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</si>
  <si>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</si>
  <si>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</si>
  <si>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</si>
  <si>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</si>
  <si>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</si>
  <si>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</si>
  <si>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</si>
  <si>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</si>
  <si>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</si>
  <si>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</si>
  <si>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</si>
  <si>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</si>
  <si>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</si>
  <si>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</si>
  <si>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</si>
  <si>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</si>
  <si>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</si>
  <si>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</si>
  <si>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</si>
  <si>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</si>
  <si>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</si>
  <si>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</si>
  <si>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</si>
  <si>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</si>
  <si>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</si>
  <si>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</si>
  <si>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</si>
  <si>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</si>
  <si>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</si>
  <si>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</si>
  <si>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</si>
  <si>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</si>
  <si>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</si>
  <si>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</si>
  <si>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</si>
  <si>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</si>
  <si>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</si>
  <si>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</si>
  <si>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</si>
  <si>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</si>
  <si>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</si>
  <si>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</si>
  <si>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</si>
  <si>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</si>
  <si>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</si>
  <si>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</si>
  <si>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</si>
  <si>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</si>
  <si>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</si>
  <si>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</si>
  <si>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</si>
  <si>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</si>
  <si>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</si>
  <si>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</si>
  <si>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</si>
  <si>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</si>
  <si>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</si>
  <si>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</si>
  <si>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</si>
  <si>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</si>
  <si>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</si>
  <si>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</si>
  <si>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</si>
  <si>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</si>
  <si>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</si>
  <si>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</si>
  <si>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</si>
  <si>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</si>
  <si>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</si>
  <si>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</si>
  <si>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</si>
  <si>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</si>
  <si>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</si>
  <si>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</si>
  <si>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</si>
  <si>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</si>
  <si>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</si>
  <si>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</si>
  <si>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</si>
  <si>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</si>
  <si>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</si>
  <si>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</si>
  <si>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</si>
  <si>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</si>
  <si>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</si>
  <si>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</si>
  <si>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</si>
  <si>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</si>
  <si>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</si>
  <si>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</si>
  <si>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</si>
  <si>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</si>
  <si>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</si>
  <si>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</si>
  <si>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</si>
  <si>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</si>
  <si>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</si>
  <si>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</si>
  <si>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</si>
  <si>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</si>
  <si>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</si>
  <si>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</si>
  <si>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</si>
  <si>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</si>
  <si>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</si>
  <si>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</si>
  <si>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</si>
  <si>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</si>
  <si>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</si>
  <si>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</si>
  <si>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</si>
  <si>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</si>
  <si>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</si>
  <si>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</si>
  <si>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</si>
  <si>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</si>
  <si>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</si>
  <si>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</si>
  <si>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</si>
  <si>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</si>
  <si>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</si>
  <si>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</si>
  <si>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</si>
  <si>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</si>
  <si>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</si>
  <si>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</si>
  <si>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</si>
  <si>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</si>
  <si>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</si>
  <si>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</si>
  <si>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</si>
  <si>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</si>
  <si>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</si>
  <si>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</si>
  <si>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</si>
  <si>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</si>
  <si>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</si>
  <si>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</si>
  <si>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</si>
  <si>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</si>
  <si>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</si>
  <si>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</si>
  <si>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</si>
  <si>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</si>
  <si>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</si>
  <si>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</si>
  <si>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</si>
  <si>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</si>
  <si>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</si>
  <si>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</si>
  <si>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</si>
  <si>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</si>
  <si>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</si>
  <si>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</si>
  <si>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</si>
  <si>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</si>
  <si>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</si>
  <si>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</si>
  <si>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</si>
  <si>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</si>
  <si>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</si>
  <si>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</si>
  <si>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</si>
  <si>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</si>
  <si>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</si>
  <si>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</si>
  <si>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</si>
  <si>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</si>
  <si>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</si>
  <si>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</si>
  <si>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</si>
  <si>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</si>
  <si>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</si>
  <si>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</si>
  <si>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</si>
  <si>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</si>
  <si>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</si>
  <si>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</si>
  <si>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</si>
  <si>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</si>
  <si>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</si>
  <si>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</si>
  <si>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</si>
  <si>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</si>
  <si>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</si>
  <si>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</si>
  <si>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</si>
  <si>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</si>
  <si>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</si>
  <si>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</si>
  <si>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</si>
  <si>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</si>
  <si>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</si>
  <si>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</si>
  <si>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</si>
  <si>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</si>
  <si>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</si>
  <si>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</si>
  <si>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</si>
  <si>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</si>
  <si>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</si>
  <si>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</si>
  <si>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</si>
  <si>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</si>
  <si>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</si>
  <si>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</si>
  <si>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</si>
  <si>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</si>
  <si>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</si>
  <si>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</si>
  <si>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</si>
  <si>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</si>
  <si>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</si>
  <si>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</si>
  <si>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</si>
  <si>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</si>
  <si>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</si>
  <si>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</si>
  <si>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</si>
  <si>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</si>
  <si>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</si>
  <si>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</si>
  <si>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</si>
  <si>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</si>
  <si>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</si>
  <si>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</si>
  <si>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</si>
  <si>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</si>
  <si>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</si>
  <si>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</si>
  <si>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</si>
  <si>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</si>
  <si>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</si>
  <si>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</si>
  <si>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</si>
  <si>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</si>
  <si>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</si>
  <si>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</si>
  <si>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</si>
  <si>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</si>
  <si>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</si>
  <si>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</si>
  <si>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</si>
  <si>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</si>
  <si>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</si>
  <si>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</si>
  <si>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</si>
  <si>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</si>
  <si>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</si>
  <si>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</si>
  <si>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</si>
  <si>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</si>
  <si>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</si>
  <si>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</si>
  <si>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</si>
  <si>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</si>
  <si>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</si>
  <si>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</si>
  <si>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</si>
  <si>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</si>
  <si>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</si>
  <si>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</si>
  <si>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</si>
  <si>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</si>
  <si>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</si>
  <si>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</si>
  <si>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</si>
  <si>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</si>
  <si>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</si>
  <si>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</si>
  <si>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</si>
  <si>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</si>
  <si>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</si>
  <si>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</si>
  <si>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</si>
  <si>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</si>
  <si>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</si>
  <si>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</si>
  <si>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</si>
  <si>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</si>
  <si>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</si>
  <si>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</si>
  <si>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</si>
  <si>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</si>
  <si>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</si>
  <si>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</si>
  <si>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</si>
  <si>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</si>
  <si>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</si>
  <si>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</si>
  <si>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</si>
  <si>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</si>
  <si>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</si>
  <si>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</si>
  <si>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</si>
  <si>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</si>
  <si>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</si>
  <si>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</si>
  <si>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</si>
  <si>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</si>
  <si>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</si>
  <si>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</si>
  <si>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</si>
  <si>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</si>
  <si>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</si>
  <si>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</si>
  <si>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</si>
  <si>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</si>
  <si>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</si>
  <si>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</si>
  <si>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</si>
  <si>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</si>
  <si>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</si>
  <si>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</si>
  <si>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</si>
  <si>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</si>
  <si>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</si>
  <si>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</si>
  <si>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</si>
  <si>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</si>
  <si>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</si>
  <si>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</si>
  <si>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</si>
  <si>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</si>
  <si>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</si>
  <si>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</si>
  <si>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</si>
  <si>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</si>
  <si>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</si>
  <si>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</si>
  <si>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</si>
  <si>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</si>
  <si>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</si>
  <si>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</si>
  <si>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</si>
  <si>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</si>
  <si>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</si>
  <si>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</si>
  <si>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</si>
  <si>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</si>
  <si>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</si>
  <si>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</si>
  <si>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</si>
  <si>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</si>
  <si>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</si>
  <si>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</si>
  <si>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</si>
  <si>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</si>
  <si>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</si>
  <si>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</si>
  <si>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</si>
  <si>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</si>
  <si>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</si>
  <si>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</si>
  <si>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</si>
  <si>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</si>
  <si>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</si>
  <si>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</si>
  <si>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</si>
  <si>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</si>
  <si>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</si>
  <si>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</si>
  <si>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</si>
  <si>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</si>
  <si>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</si>
  <si>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</si>
  <si>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</si>
  <si>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</si>
  <si>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</si>
  <si>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</si>
  <si>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</si>
  <si>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</si>
  <si>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</si>
  <si>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</si>
  <si>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</si>
  <si>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</si>
  <si>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</si>
  <si>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</si>
  <si>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</si>
  <si>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</si>
  <si>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</si>
  <si>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</si>
  <si>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</si>
  <si>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</si>
  <si>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</si>
  <si>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</si>
  <si>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</si>
  <si>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</si>
  <si>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</si>
  <si>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</si>
  <si>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</si>
  <si>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</si>
  <si>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</si>
  <si>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</si>
  <si>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</si>
  <si>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</si>
  <si>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</si>
  <si>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</si>
  <si>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</si>
  <si>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</si>
  <si>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</si>
  <si>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</si>
  <si>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</si>
  <si>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</si>
  <si>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</si>
  <si>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</si>
  <si>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</si>
  <si>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</si>
  <si>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</si>
  <si>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</si>
  <si>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</si>
  <si>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</si>
  <si>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</si>
  <si>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</si>
  <si>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</si>
  <si>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</si>
  <si>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</si>
  <si>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</si>
  <si>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</si>
  <si>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</si>
  <si>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</si>
  <si>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</si>
  <si>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</si>
  <si>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</si>
  <si>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</si>
  <si>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</si>
  <si>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</si>
  <si>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</si>
  <si>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</si>
  <si>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</si>
  <si>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</si>
  <si>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</si>
  <si>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</si>
  <si>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</si>
  <si>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</si>
  <si>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</si>
  <si>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</si>
  <si>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</si>
  <si>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</si>
  <si>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</si>
  <si>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</si>
  <si>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</si>
  <si>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</si>
  <si>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</si>
  <si>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</si>
  <si>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</si>
  <si>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</si>
  <si>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</si>
  <si>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</si>
  <si>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</si>
  <si>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</si>
  <si>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</si>
  <si>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</si>
  <si>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</si>
  <si>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</si>
  <si>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</si>
  <si>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</si>
  <si>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</si>
  <si>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</si>
  <si>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</si>
  <si>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</si>
  <si>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</si>
  <si>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</si>
  <si>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</si>
  <si>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36012</t>
  </si>
  <si>
    <t>MOORSLEDE</t>
  </si>
  <si>
    <t>Eandis (januari 2018); Infrax (juni 2018)</t>
  </si>
  <si>
    <t>MOW (september 2017)</t>
  </si>
  <si>
    <t>referentietaak LNE (2017); Jaarverslag De Lijn (2016)</t>
  </si>
  <si>
    <t>VEA (april 2018)</t>
  </si>
  <si>
    <t>VEA (januari 2017)</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</si>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</sst>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95743.138546219983</c:v>
                </c:pt>
                <c:pt idx="1">
                  <c:v>47456.387961671993</c:v>
                </c:pt>
                <c:pt idx="2">
                  <c:v>984.98900000000003</c:v>
                </c:pt>
                <c:pt idx="3">
                  <c:v>13312.692985111047</c:v>
                </c:pt>
                <c:pt idx="4">
                  <c:v>51858.712457780959</c:v>
                </c:pt>
                <c:pt idx="5">
                  <c:v>37834.439324438936</c:v>
                </c:pt>
                <c:pt idx="6">
                  <c:v>1245.3945410352517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95743.138546219983</c:v>
                </c:pt>
                <c:pt idx="1">
                  <c:v>47456.387961671993</c:v>
                </c:pt>
                <c:pt idx="2">
                  <c:v>984.98900000000003</c:v>
                </c:pt>
                <c:pt idx="3">
                  <c:v>13312.692985111047</c:v>
                </c:pt>
                <c:pt idx="4">
                  <c:v>51858.712457780959</c:v>
                </c:pt>
                <c:pt idx="5">
                  <c:v>37834.439324438936</c:v>
                </c:pt>
                <c:pt idx="6">
                  <c:v>1245.3945410352517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16165.82149790503</c:v>
                </c:pt>
                <c:pt idx="1">
                  <c:v>7387.6079683887647</c:v>
                </c:pt>
                <c:pt idx="2">
                  <c:v>178.79534776950027</c:v>
                </c:pt>
                <c:pt idx="3">
                  <c:v>3284.1849307374173</c:v>
                </c:pt>
                <c:pt idx="4">
                  <c:v>9461.8491539713759</c:v>
                </c:pt>
                <c:pt idx="5">
                  <c:v>9454.3195390186029</c:v>
                </c:pt>
                <c:pt idx="6">
                  <c:v>314.64963238195378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16165.82149790503</c:v>
                </c:pt>
                <c:pt idx="1">
                  <c:v>7387.6079683887647</c:v>
                </c:pt>
                <c:pt idx="2">
                  <c:v>178.79534776950027</c:v>
                </c:pt>
                <c:pt idx="3">
                  <c:v>3284.1849307374173</c:v>
                </c:pt>
                <c:pt idx="4">
                  <c:v>9461.8491539713759</c:v>
                </c:pt>
                <c:pt idx="5">
                  <c:v>9454.3195390186029</c:v>
                </c:pt>
                <c:pt idx="6">
                  <c:v>314.64963238195378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4533</v>
      </c>
      <c r="C9" s="342">
        <v>4751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2521.91</v>
      </c>
    </row>
    <row r="15" spans="1:6">
      <c r="A15" s="348" t="s">
        <v>184</v>
      </c>
      <c r="B15" s="334">
        <v>23</v>
      </c>
    </row>
    <row r="16" spans="1:6">
      <c r="A16" s="348" t="s">
        <v>6</v>
      </c>
      <c r="B16" s="334">
        <v>700</v>
      </c>
    </row>
    <row r="17" spans="1:6">
      <c r="A17" s="348" t="s">
        <v>7</v>
      </c>
      <c r="B17" s="334">
        <v>581</v>
      </c>
    </row>
    <row r="18" spans="1:6">
      <c r="A18" s="348" t="s">
        <v>8</v>
      </c>
      <c r="B18" s="334">
        <v>776</v>
      </c>
    </row>
    <row r="19" spans="1:6">
      <c r="A19" s="348" t="s">
        <v>9</v>
      </c>
      <c r="B19" s="334">
        <v>984</v>
      </c>
    </row>
    <row r="20" spans="1:6">
      <c r="A20" s="348" t="s">
        <v>10</v>
      </c>
      <c r="B20" s="334">
        <v>609</v>
      </c>
    </row>
    <row r="21" spans="1:6">
      <c r="A21" s="348" t="s">
        <v>11</v>
      </c>
      <c r="B21" s="334">
        <v>8361</v>
      </c>
    </row>
    <row r="22" spans="1:6">
      <c r="A22" s="348" t="s">
        <v>12</v>
      </c>
      <c r="B22" s="334">
        <v>30052</v>
      </c>
    </row>
    <row r="23" spans="1:6">
      <c r="A23" s="348" t="s">
        <v>13</v>
      </c>
      <c r="B23" s="334">
        <v>477</v>
      </c>
    </row>
    <row r="24" spans="1:6">
      <c r="A24" s="348" t="s">
        <v>14</v>
      </c>
      <c r="B24" s="334">
        <v>15</v>
      </c>
    </row>
    <row r="25" spans="1:6">
      <c r="A25" s="348" t="s">
        <v>15</v>
      </c>
      <c r="B25" s="334">
        <v>2320</v>
      </c>
    </row>
    <row r="26" spans="1:6">
      <c r="A26" s="348" t="s">
        <v>16</v>
      </c>
      <c r="B26" s="334">
        <v>196</v>
      </c>
    </row>
    <row r="27" spans="1:6">
      <c r="A27" s="348" t="s">
        <v>17</v>
      </c>
      <c r="B27" s="334">
        <v>6</v>
      </c>
    </row>
    <row r="28" spans="1:6" s="356" customFormat="1">
      <c r="A28" s="355" t="s">
        <v>18</v>
      </c>
      <c r="B28" s="355">
        <v>122624</v>
      </c>
    </row>
    <row r="29" spans="1:6">
      <c r="A29" s="355" t="s">
        <v>744</v>
      </c>
      <c r="B29" s="355">
        <v>229</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38219.381272799503</v>
      </c>
    </row>
    <row r="37" spans="1:6">
      <c r="A37" s="348" t="s">
        <v>25</v>
      </c>
      <c r="B37" s="348" t="s">
        <v>28</v>
      </c>
      <c r="C37" s="334">
        <v>0</v>
      </c>
      <c r="D37" s="334">
        <v>0</v>
      </c>
      <c r="E37" s="334">
        <v>0</v>
      </c>
      <c r="F37" s="334">
        <v>0</v>
      </c>
    </row>
    <row r="38" spans="1:6">
      <c r="A38" s="348" t="s">
        <v>25</v>
      </c>
      <c r="B38" s="348" t="s">
        <v>29</v>
      </c>
      <c r="C38" s="334">
        <v>0</v>
      </c>
      <c r="D38" s="334">
        <v>0</v>
      </c>
      <c r="E38" s="334">
        <v>4</v>
      </c>
      <c r="F38" s="334">
        <v>102254.379041947</v>
      </c>
    </row>
    <row r="39" spans="1:6">
      <c r="A39" s="348" t="s">
        <v>30</v>
      </c>
      <c r="B39" s="348" t="s">
        <v>31</v>
      </c>
      <c r="C39" s="334">
        <v>2968</v>
      </c>
      <c r="D39" s="334">
        <v>45775516.601599701</v>
      </c>
      <c r="E39" s="334">
        <v>4191</v>
      </c>
      <c r="F39" s="334">
        <v>14545628.284833999</v>
      </c>
    </row>
    <row r="40" spans="1:6">
      <c r="A40" s="348" t="s">
        <v>30</v>
      </c>
      <c r="B40" s="348" t="s">
        <v>29</v>
      </c>
      <c r="C40" s="334">
        <v>0</v>
      </c>
      <c r="D40" s="334">
        <v>0</v>
      </c>
      <c r="E40" s="334">
        <v>0</v>
      </c>
      <c r="F40" s="334">
        <v>0</v>
      </c>
    </row>
    <row r="41" spans="1:6">
      <c r="A41" s="348" t="s">
        <v>32</v>
      </c>
      <c r="B41" s="348" t="s">
        <v>33</v>
      </c>
      <c r="C41" s="334">
        <v>78</v>
      </c>
      <c r="D41" s="334">
        <v>1386571.8091086501</v>
      </c>
      <c r="E41" s="334">
        <v>131</v>
      </c>
      <c r="F41" s="334">
        <v>2014130.0580088799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273912.59204680001</v>
      </c>
      <c r="E44" s="334">
        <v>26</v>
      </c>
      <c r="F44" s="334">
        <v>1688246.8612994901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45459.797188673001</v>
      </c>
    </row>
    <row r="48" spans="1:6">
      <c r="A48" s="348" t="s">
        <v>32</v>
      </c>
      <c r="B48" s="348" t="s">
        <v>29</v>
      </c>
      <c r="C48" s="334">
        <v>28</v>
      </c>
      <c r="D48" s="334">
        <v>18739462.115385901</v>
      </c>
      <c r="E48" s="334">
        <v>40</v>
      </c>
      <c r="F48" s="334">
        <v>17473811.377817702</v>
      </c>
    </row>
    <row r="49" spans="1:6">
      <c r="A49" s="348" t="s">
        <v>32</v>
      </c>
      <c r="B49" s="348" t="s">
        <v>40</v>
      </c>
      <c r="C49" s="334">
        <v>0</v>
      </c>
      <c r="D49" s="334">
        <v>0</v>
      </c>
      <c r="E49" s="334">
        <v>4</v>
      </c>
      <c r="F49" s="334">
        <v>299626.48216448998</v>
      </c>
    </row>
    <row r="50" spans="1:6">
      <c r="A50" s="348" t="s">
        <v>32</v>
      </c>
      <c r="B50" s="348" t="s">
        <v>41</v>
      </c>
      <c r="C50" s="334">
        <v>4</v>
      </c>
      <c r="D50" s="334">
        <v>181207.95917229701</v>
      </c>
      <c r="E50" s="334">
        <v>5</v>
      </c>
      <c r="F50" s="334">
        <v>99996.394323105502</v>
      </c>
    </row>
    <row r="51" spans="1:6">
      <c r="A51" s="348" t="s">
        <v>42</v>
      </c>
      <c r="B51" s="348" t="s">
        <v>43</v>
      </c>
      <c r="C51" s="334">
        <v>7</v>
      </c>
      <c r="D51" s="334">
        <v>159852.167874732</v>
      </c>
      <c r="E51" s="334">
        <v>133</v>
      </c>
      <c r="F51" s="334">
        <v>1989836.2506702701</v>
      </c>
    </row>
    <row r="52" spans="1:6">
      <c r="A52" s="348" t="s">
        <v>42</v>
      </c>
      <c r="B52" s="348" t="s">
        <v>29</v>
      </c>
      <c r="C52" s="334">
        <v>6</v>
      </c>
      <c r="D52" s="334">
        <v>82163.212894432698</v>
      </c>
      <c r="E52" s="334">
        <v>8</v>
      </c>
      <c r="F52" s="334">
        <v>189224.82899084999</v>
      </c>
    </row>
    <row r="53" spans="1:6">
      <c r="A53" s="348" t="s">
        <v>44</v>
      </c>
      <c r="B53" s="348" t="s">
        <v>45</v>
      </c>
      <c r="C53" s="334">
        <v>73</v>
      </c>
      <c r="D53" s="334">
        <v>1616114.08989545</v>
      </c>
      <c r="E53" s="334">
        <v>122</v>
      </c>
      <c r="F53" s="334">
        <v>655159.34323814104</v>
      </c>
    </row>
    <row r="54" spans="1:6">
      <c r="A54" s="348" t="s">
        <v>46</v>
      </c>
      <c r="B54" s="348" t="s">
        <v>47</v>
      </c>
      <c r="C54" s="334">
        <v>0</v>
      </c>
      <c r="D54" s="334">
        <v>0</v>
      </c>
      <c r="E54" s="334">
        <v>1</v>
      </c>
      <c r="F54" s="334">
        <v>984989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2019638.71065434</v>
      </c>
      <c r="E57" s="334">
        <v>70</v>
      </c>
      <c r="F57" s="334">
        <v>1113090.1578609401</v>
      </c>
    </row>
    <row r="58" spans="1:6">
      <c r="A58" s="348" t="s">
        <v>49</v>
      </c>
      <c r="B58" s="348" t="s">
        <v>51</v>
      </c>
      <c r="C58" s="334">
        <v>23</v>
      </c>
      <c r="D58" s="334">
        <v>2132031.4801770998</v>
      </c>
      <c r="E58" s="334">
        <v>26</v>
      </c>
      <c r="F58" s="334">
        <v>774184.70837544196</v>
      </c>
    </row>
    <row r="59" spans="1:6">
      <c r="A59" s="348" t="s">
        <v>49</v>
      </c>
      <c r="B59" s="348" t="s">
        <v>52</v>
      </c>
      <c r="C59" s="334">
        <v>49</v>
      </c>
      <c r="D59" s="334">
        <v>1450295.74901265</v>
      </c>
      <c r="E59" s="334">
        <v>139</v>
      </c>
      <c r="F59" s="334">
        <v>3198534.7349182498</v>
      </c>
    </row>
    <row r="60" spans="1:6">
      <c r="A60" s="348" t="s">
        <v>49</v>
      </c>
      <c r="B60" s="348" t="s">
        <v>53</v>
      </c>
      <c r="C60" s="334">
        <v>49</v>
      </c>
      <c r="D60" s="334">
        <v>2765661.9951341599</v>
      </c>
      <c r="E60" s="334">
        <v>68</v>
      </c>
      <c r="F60" s="334">
        <v>1257906.6856914901</v>
      </c>
    </row>
    <row r="61" spans="1:6">
      <c r="A61" s="348" t="s">
        <v>49</v>
      </c>
      <c r="B61" s="348" t="s">
        <v>54</v>
      </c>
      <c r="C61" s="334">
        <v>80</v>
      </c>
      <c r="D61" s="334">
        <v>1739648.87803656</v>
      </c>
      <c r="E61" s="334">
        <v>144</v>
      </c>
      <c r="F61" s="334">
        <v>1298577.07762127</v>
      </c>
    </row>
    <row r="62" spans="1:6">
      <c r="A62" s="348" t="s">
        <v>49</v>
      </c>
      <c r="B62" s="348" t="s">
        <v>55</v>
      </c>
      <c r="C62" s="334">
        <v>5</v>
      </c>
      <c r="D62" s="334">
        <v>260464.98671258599</v>
      </c>
      <c r="E62" s="334">
        <v>6</v>
      </c>
      <c r="F62" s="334">
        <v>195239.76188989801</v>
      </c>
    </row>
    <row r="63" spans="1:6">
      <c r="A63" s="348" t="s">
        <v>49</v>
      </c>
      <c r="B63" s="348" t="s">
        <v>29</v>
      </c>
      <c r="C63" s="334">
        <v>80</v>
      </c>
      <c r="D63" s="334">
        <v>5299239.9720160002</v>
      </c>
      <c r="E63" s="334">
        <v>87</v>
      </c>
      <c r="F63" s="334">
        <v>6456907.4495465001</v>
      </c>
    </row>
    <row r="64" spans="1:6">
      <c r="A64" s="348" t="s">
        <v>56</v>
      </c>
      <c r="B64" s="348" t="s">
        <v>57</v>
      </c>
      <c r="C64" s="334">
        <v>0</v>
      </c>
      <c r="D64" s="334">
        <v>0</v>
      </c>
      <c r="E64" s="334">
        <v>0</v>
      </c>
      <c r="F64" s="334">
        <v>0</v>
      </c>
    </row>
    <row r="65" spans="1:6">
      <c r="A65" s="348" t="s">
        <v>56</v>
      </c>
      <c r="B65" s="348" t="s">
        <v>29</v>
      </c>
      <c r="C65" s="334">
        <v>2</v>
      </c>
      <c r="D65" s="334">
        <v>73988.134791759599</v>
      </c>
      <c r="E65" s="334">
        <v>2</v>
      </c>
      <c r="F65" s="334">
        <v>17530.228449990002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357463.42942041199</v>
      </c>
      <c r="E68" s="334">
        <v>23</v>
      </c>
      <c r="F68" s="334">
        <v>274521.390971118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8343599</v>
      </c>
      <c r="E73" s="476">
        <v>7331429.4879234172</v>
      </c>
    </row>
    <row r="74" spans="1:6">
      <c r="A74" s="348" t="s">
        <v>64</v>
      </c>
      <c r="B74" s="348" t="s">
        <v>657</v>
      </c>
      <c r="C74" s="1213" t="s">
        <v>659</v>
      </c>
      <c r="D74" s="476">
        <v>549573.09324829036</v>
      </c>
      <c r="E74" s="476">
        <v>574898.83952039108</v>
      </c>
    </row>
    <row r="75" spans="1:6">
      <c r="A75" s="348" t="s">
        <v>65</v>
      </c>
      <c r="B75" s="348" t="s">
        <v>656</v>
      </c>
      <c r="C75" s="1213" t="s">
        <v>660</v>
      </c>
      <c r="D75" s="476">
        <v>28500708</v>
      </c>
      <c r="E75" s="476">
        <v>27261487.205510322</v>
      </c>
    </row>
    <row r="76" spans="1:6">
      <c r="A76" s="348" t="s">
        <v>65</v>
      </c>
      <c r="B76" s="348" t="s">
        <v>657</v>
      </c>
      <c r="C76" s="1213" t="s">
        <v>661</v>
      </c>
      <c r="D76" s="476">
        <v>1473325.0932482905</v>
      </c>
      <c r="E76" s="476">
        <v>1686733.164862527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337771.81350341922</v>
      </c>
      <c r="C83" s="476">
        <v>337489.12159926997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3414.5672456590005</v>
      </c>
    </row>
    <row r="92" spans="1:6">
      <c r="A92" s="341" t="s">
        <v>69</v>
      </c>
      <c r="B92" s="342">
        <v>1285.3249167533127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63741.451829316597</v>
      </c>
      <c r="C3" s="43" t="s">
        <v>170</v>
      </c>
      <c r="D3" s="43"/>
      <c r="E3" s="154"/>
      <c r="F3" s="43"/>
      <c r="G3" s="43"/>
      <c r="H3" s="43"/>
      <c r="I3" s="43"/>
      <c r="J3" s="43"/>
      <c r="K3" s="96"/>
    </row>
    <row r="4" spans="1:11">
      <c r="A4" s="383" t="s">
        <v>171</v>
      </c>
      <c r="B4" s="49">
        <f>IF(ISERROR('SEAP template'!B69),0,'SEAP template'!B69)</f>
        <v>11386.892162412314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0.18152014669148617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9552.8571428571431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984.98900000000003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984.98900000000003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0.18152014669148617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178.79534776950027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14545.628284834</v>
      </c>
      <c r="C5" s="17">
        <f>IF(ISERROR('Eigen informatie GS &amp; warmtenet'!B57),0,'Eigen informatie GS &amp; warmtenet'!B57)</f>
        <v>0</v>
      </c>
      <c r="D5" s="30">
        <f>(SUM(HH_hh_gas_kWh,HH_rest_gas_kWh)/1000)*0.902</f>
        <v>41289.515974642934</v>
      </c>
      <c r="E5" s="17">
        <f>B46*B57</f>
        <v>6194.5907085379386</v>
      </c>
      <c r="F5" s="17">
        <f>B51*B62</f>
        <v>10031.711073578825</v>
      </c>
      <c r="G5" s="18"/>
      <c r="H5" s="17"/>
      <c r="I5" s="17"/>
      <c r="J5" s="17">
        <f>B50*B61+C50*C61</f>
        <v>1357.5225882503801</v>
      </c>
      <c r="K5" s="17"/>
      <c r="L5" s="17"/>
      <c r="M5" s="17"/>
      <c r="N5" s="17">
        <f>B48*B59+C48*C59</f>
        <v>17972.732670716894</v>
      </c>
      <c r="O5" s="17">
        <f>B69*B70*B71</f>
        <v>326.73666666666668</v>
      </c>
      <c r="P5" s="17">
        <f>B77*B78*B79/1000-B77*B78*B79/1000/B80</f>
        <v>610.13333333333333</v>
      </c>
    </row>
    <row r="6" spans="1:16">
      <c r="A6" s="16" t="s">
        <v>621</v>
      </c>
      <c r="B6" s="843">
        <f>kWh_PV_kleiner_dan_10kW</f>
        <v>3414.5672456590005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17960.195530493002</v>
      </c>
      <c r="C8" s="21">
        <f>C5</f>
        <v>0</v>
      </c>
      <c r="D8" s="21">
        <f>D5</f>
        <v>41289.515974642934</v>
      </c>
      <c r="E8" s="21">
        <f>E5</f>
        <v>6194.5907085379386</v>
      </c>
      <c r="F8" s="21">
        <f>F5</f>
        <v>10031.711073578825</v>
      </c>
      <c r="G8" s="21"/>
      <c r="H8" s="21"/>
      <c r="I8" s="21"/>
      <c r="J8" s="21">
        <f>J5</f>
        <v>1357.5225882503801</v>
      </c>
      <c r="K8" s="21"/>
      <c r="L8" s="21">
        <f>L5</f>
        <v>0</v>
      </c>
      <c r="M8" s="21">
        <f>M5</f>
        <v>0</v>
      </c>
      <c r="N8" s="21">
        <f>N5</f>
        <v>17972.732670716894</v>
      </c>
      <c r="O8" s="21">
        <f>O5</f>
        <v>326.73666666666668</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0.18152014669148617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3260.1373273028639</v>
      </c>
      <c r="C12" s="23">
        <f ca="1">C10*C8</f>
        <v>0</v>
      </c>
      <c r="D12" s="23">
        <f>D8*D10</f>
        <v>8340.4822268778735</v>
      </c>
      <c r="E12" s="23">
        <f>E10*E8</f>
        <v>1406.1720908381121</v>
      </c>
      <c r="F12" s="23">
        <f>F10*F8</f>
        <v>2678.4668566455462</v>
      </c>
      <c r="G12" s="23"/>
      <c r="H12" s="23"/>
      <c r="I12" s="23"/>
      <c r="J12" s="23">
        <f>J10*J8</f>
        <v>480.5629962406345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4533</v>
      </c>
      <c r="C28" s="36"/>
      <c r="D28" s="228"/>
    </row>
    <row r="29" spans="1:7" s="15" customFormat="1">
      <c r="A29" s="230" t="s">
        <v>795</v>
      </c>
      <c r="B29" s="37">
        <f>SUM(HH_hh_gas_aantal,HH_rest_gas_aantal)</f>
        <v>2968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2968</v>
      </c>
      <c r="C32" s="167">
        <f>IF(ISERROR(B32/SUM($B$32,$B$34,$B$35,$B$36,$B$38,$B$39)*100),0,B32/SUM($B$32,$B$34,$B$35,$B$36,$B$38,$B$39)*100)</f>
        <v>65.940902021772942</v>
      </c>
      <c r="D32" s="233"/>
      <c r="G32" s="15"/>
    </row>
    <row r="33" spans="1:7">
      <c r="A33" s="171" t="s">
        <v>72</v>
      </c>
      <c r="B33" s="34" t="s">
        <v>111</v>
      </c>
      <c r="C33" s="167"/>
      <c r="D33" s="233"/>
      <c r="G33" s="15"/>
    </row>
    <row r="34" spans="1:7">
      <c r="A34" s="171" t="s">
        <v>73</v>
      </c>
      <c r="B34" s="33">
        <f>IF((($B$28-$B$32-$B$39-$B$77-$B$38)*C20/100)&lt;0,0,($B$28-$B$32-$B$39-$B$77-$B$38)*C20/100)</f>
        <v>292.56428571428575</v>
      </c>
      <c r="C34" s="167">
        <f>IF(ISERROR(B34/SUM($B$32,$B$34,$B$35,$B$36,$B$38,$B$39)*100),0,B34/SUM($B$32,$B$34,$B$35,$B$36,$B$38,$B$39)*100)</f>
        <v>6.49998413051068</v>
      </c>
      <c r="D34" s="233"/>
      <c r="G34" s="15"/>
    </row>
    <row r="35" spans="1:7">
      <c r="A35" s="171" t="s">
        <v>74</v>
      </c>
      <c r="B35" s="33">
        <f>IF((($B$28-$B$32-$B$39-$B$77-$B$38)*C21/100)&lt;0,0,($B$28-$B$32-$B$39-$B$77-$B$38)*C21/100)</f>
        <v>565.36071428571427</v>
      </c>
      <c r="C35" s="167">
        <f>IF(ISERROR(B35/SUM($B$32,$B$34,$B$35,$B$36,$B$38,$B$39)*100),0,B35/SUM($B$32,$B$34,$B$35,$B$36,$B$38,$B$39)*100)</f>
        <v>12.560780144094963</v>
      </c>
      <c r="D35" s="233"/>
      <c r="G35" s="15"/>
    </row>
    <row r="36" spans="1:7">
      <c r="A36" s="171" t="s">
        <v>75</v>
      </c>
      <c r="B36" s="33">
        <f>IF((($B$28-$B$32-$B$39-$B$77-$B$38)*C22/100)&lt;0,0,($B$28-$B$32-$B$39-$B$77-$B$38)*C22/100)</f>
        <v>249.07499999999999</v>
      </c>
      <c r="C36" s="167">
        <f>IF(ISERROR(B36/SUM($B$32,$B$34,$B$35,$B$36,$B$38,$B$39)*100),0,B36/SUM($B$32,$B$34,$B$35,$B$36,$B$38,$B$39)*100)</f>
        <v>5.533770273272606</v>
      </c>
      <c r="D36" s="233"/>
      <c r="G36" s="15"/>
    </row>
    <row r="37" spans="1:7">
      <c r="A37" s="171" t="s">
        <v>76</v>
      </c>
      <c r="B37" s="34" t="s">
        <v>111</v>
      </c>
      <c r="C37" s="167"/>
      <c r="D37" s="173"/>
      <c r="G37" s="15"/>
    </row>
    <row r="38" spans="1:7">
      <c r="A38" s="171" t="s">
        <v>77</v>
      </c>
      <c r="B38" s="33">
        <f>IF((B24-(B29-B18)*0.1)&lt;0,0,B24-(B29-B18)*0.1)</f>
        <v>38.5</v>
      </c>
      <c r="C38" s="167">
        <f>IF(ISERROR(B38/SUM($B$32,$B$34,$B$35,$B$36,$B$38,$B$39)*100),0,B38/SUM($B$32,$B$34,$B$35,$B$36,$B$38,$B$39)*100)</f>
        <v>0.85536547433903576</v>
      </c>
      <c r="D38" s="234"/>
      <c r="G38" s="15"/>
    </row>
    <row r="39" spans="1:7">
      <c r="A39" s="171" t="s">
        <v>78</v>
      </c>
      <c r="B39" s="33">
        <f>IF((B25-(B29-B18))&lt;0,0,B25-(B29-B18)*0.9)</f>
        <v>387.5</v>
      </c>
      <c r="C39" s="167">
        <f>IF(ISERROR(B39/SUM($B$32,$B$34,$B$35,$B$36,$B$38,$B$39)*100),0,B39/SUM($B$32,$B$34,$B$35,$B$36,$B$38,$B$39)*100)</f>
        <v>8.6091979560097762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2968</v>
      </c>
      <c r="C44" s="34" t="s">
        <v>111</v>
      </c>
      <c r="D44" s="174"/>
    </row>
    <row r="45" spans="1:7">
      <c r="A45" s="171" t="s">
        <v>72</v>
      </c>
      <c r="B45" s="33" t="str">
        <f t="shared" si="0"/>
        <v>-</v>
      </c>
      <c r="C45" s="34" t="s">
        <v>111</v>
      </c>
      <c r="D45" s="174"/>
    </row>
    <row r="46" spans="1:7">
      <c r="A46" s="171" t="s">
        <v>73</v>
      </c>
      <c r="B46" s="33">
        <f t="shared" si="0"/>
        <v>292.56428571428575</v>
      </c>
      <c r="C46" s="34" t="s">
        <v>111</v>
      </c>
      <c r="D46" s="174"/>
    </row>
    <row r="47" spans="1:7">
      <c r="A47" s="171" t="s">
        <v>74</v>
      </c>
      <c r="B47" s="33">
        <f t="shared" si="0"/>
        <v>565.36071428571427</v>
      </c>
      <c r="C47" s="34" t="s">
        <v>111</v>
      </c>
      <c r="D47" s="174"/>
    </row>
    <row r="48" spans="1:7">
      <c r="A48" s="171" t="s">
        <v>75</v>
      </c>
      <c r="B48" s="33">
        <f t="shared" si="0"/>
        <v>249.07499999999999</v>
      </c>
      <c r="C48" s="33">
        <f>B48*10</f>
        <v>2490.75</v>
      </c>
      <c r="D48" s="234"/>
    </row>
    <row r="49" spans="1:6">
      <c r="A49" s="171" t="s">
        <v>76</v>
      </c>
      <c r="B49" s="33" t="str">
        <f t="shared" si="0"/>
        <v>-</v>
      </c>
      <c r="C49" s="34" t="s">
        <v>111</v>
      </c>
      <c r="D49" s="234"/>
    </row>
    <row r="50" spans="1:6">
      <c r="A50" s="171" t="s">
        <v>77</v>
      </c>
      <c r="B50" s="33">
        <f t="shared" si="0"/>
        <v>38.5</v>
      </c>
      <c r="C50" s="33">
        <f>B50*2</f>
        <v>77</v>
      </c>
      <c r="D50" s="234"/>
    </row>
    <row r="51" spans="1:6">
      <c r="A51" s="171" t="s">
        <v>78</v>
      </c>
      <c r="B51" s="33">
        <f t="shared" si="0"/>
        <v>387.5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14294.440575903789</v>
      </c>
      <c r="C5" s="17">
        <f>IF(ISERROR('Eigen informatie GS &amp; warmtenet'!B58),0,'Eigen informatie GS &amp; warmtenet'!B58)</f>
        <v>0</v>
      </c>
      <c r="D5" s="30">
        <f>SUM(D6:D12)</f>
        <v>14131.617558112543</v>
      </c>
      <c r="E5" s="17">
        <f>SUM(E6:E12)</f>
        <v>218.53446534312195</v>
      </c>
      <c r="F5" s="17">
        <f>SUM(F6:F12)</f>
        <v>2527.5117564002512</v>
      </c>
      <c r="G5" s="18"/>
      <c r="H5" s="17"/>
      <c r="I5" s="17"/>
      <c r="J5" s="17">
        <f>SUM(J6:J12)</f>
        <v>3.9796388473157279E-2</v>
      </c>
      <c r="K5" s="17"/>
      <c r="L5" s="17"/>
      <c r="M5" s="17"/>
      <c r="N5" s="17">
        <f>SUM(N6:N12)</f>
        <v>1588.9943069074568</v>
      </c>
      <c r="O5" s="17">
        <f>B38*B39*B40</f>
        <v>6.2533333333333339</v>
      </c>
      <c r="P5" s="17">
        <f>B46*B47*B48/1000-B46*B47*B48/1000/B49</f>
        <v>38.133333333333333</v>
      </c>
      <c r="R5" s="32"/>
    </row>
    <row r="6" spans="1:18">
      <c r="A6" s="32" t="s">
        <v>54</v>
      </c>
      <c r="B6" s="37">
        <f>B26</f>
        <v>1298.5770776212701</v>
      </c>
      <c r="C6" s="33"/>
      <c r="D6" s="37">
        <f>IF(ISERROR(TER_kantoor_gas_kWh/1000),0,TER_kantoor_gas_kWh/1000)*0.902</f>
        <v>1569.1632879889771</v>
      </c>
      <c r="E6" s="33">
        <f>$C$26*'E Balans VL '!I12/100/3.6*1000000</f>
        <v>8.1390492225604273E-3</v>
      </c>
      <c r="F6" s="33">
        <f>$C$26*('E Balans VL '!L12+'E Balans VL '!N12)/100/3.6*1000000</f>
        <v>195.13984906222402</v>
      </c>
      <c r="G6" s="34"/>
      <c r="H6" s="33"/>
      <c r="I6" s="33"/>
      <c r="J6" s="33">
        <f>$C$26*('E Balans VL '!D12+'E Balans VL '!E12)/100/3.6*1000000</f>
        <v>0</v>
      </c>
      <c r="K6" s="33"/>
      <c r="L6" s="33"/>
      <c r="M6" s="33"/>
      <c r="N6" s="33">
        <f>$C$26*'E Balans VL '!Y12/100/3.6*1000000</f>
        <v>1.2418964395633747</v>
      </c>
      <c r="O6" s="33"/>
      <c r="P6" s="33"/>
      <c r="R6" s="32"/>
    </row>
    <row r="7" spans="1:18">
      <c r="A7" s="32" t="s">
        <v>53</v>
      </c>
      <c r="B7" s="37">
        <f t="shared" ref="B7:B12" si="0">B27</f>
        <v>1257.9066856914901</v>
      </c>
      <c r="C7" s="33"/>
      <c r="D7" s="37">
        <f>IF(ISERROR(TER_horeca_gas_kWh/1000),0,TER_horeca_gas_kWh/1000)*0.902</f>
        <v>2494.6271196110124</v>
      </c>
      <c r="E7" s="33">
        <f>$C$27*'E Balans VL '!I9/100/3.6*1000000</f>
        <v>18.013014211846659</v>
      </c>
      <c r="F7" s="33">
        <f>$C$27*('E Balans VL '!L9+'E Balans VL '!N9)/100/3.6*1000000</f>
        <v>159.2924737693732</v>
      </c>
      <c r="G7" s="34"/>
      <c r="H7" s="33"/>
      <c r="I7" s="33"/>
      <c r="J7" s="33">
        <f>$C$27*('E Balans VL '!D9+'E Balans VL '!E9)/100/3.6*1000000</f>
        <v>0</v>
      </c>
      <c r="K7" s="33"/>
      <c r="L7" s="33"/>
      <c r="M7" s="33"/>
      <c r="N7" s="33">
        <f>$C$27*'E Balans VL '!Y9/100/3.6*1000000</f>
        <v>0.36162043767460095</v>
      </c>
      <c r="O7" s="33"/>
      <c r="P7" s="33"/>
      <c r="R7" s="32"/>
    </row>
    <row r="8" spans="1:18">
      <c r="A8" s="6" t="s">
        <v>52</v>
      </c>
      <c r="B8" s="37">
        <f t="shared" si="0"/>
        <v>3198.5347349182498</v>
      </c>
      <c r="C8" s="33"/>
      <c r="D8" s="37">
        <f>IF(ISERROR(TER_handel_gas_kWh/1000),0,TER_handel_gas_kWh/1000)*0.902</f>
        <v>1308.1667656094103</v>
      </c>
      <c r="E8" s="33">
        <f>$C$28*'E Balans VL '!I13/100/3.6*1000000</f>
        <v>116.01046040985231</v>
      </c>
      <c r="F8" s="33">
        <f>$C$28*('E Balans VL '!L13+'E Balans VL '!N13)/100/3.6*1000000</f>
        <v>616.07017716856137</v>
      </c>
      <c r="G8" s="34"/>
      <c r="H8" s="33"/>
      <c r="I8" s="33"/>
      <c r="J8" s="33">
        <f>$C$28*('E Balans VL '!D13+'E Balans VL '!E13)/100/3.6*1000000</f>
        <v>0</v>
      </c>
      <c r="K8" s="33"/>
      <c r="L8" s="33"/>
      <c r="M8" s="33"/>
      <c r="N8" s="33">
        <f>$C$28*'E Balans VL '!Y13/100/3.6*1000000</f>
        <v>4.4307065578818943</v>
      </c>
      <c r="O8" s="33"/>
      <c r="P8" s="33"/>
      <c r="R8" s="32"/>
    </row>
    <row r="9" spans="1:18">
      <c r="A9" s="32" t="s">
        <v>51</v>
      </c>
      <c r="B9" s="37">
        <f t="shared" si="0"/>
        <v>774.18470837544191</v>
      </c>
      <c r="C9" s="33"/>
      <c r="D9" s="37">
        <f>IF(ISERROR(TER_gezond_gas_kWh/1000),0,TER_gezond_gas_kWh/1000)*0.902</f>
        <v>1923.092395119744</v>
      </c>
      <c r="E9" s="33">
        <f>$C$29*'E Balans VL '!I10/100/3.6*1000000</f>
        <v>4.8471606437384872E-2</v>
      </c>
      <c r="F9" s="33">
        <f>$C$29*('E Balans VL '!L10+'E Balans VL '!N10)/100/3.6*1000000</f>
        <v>115.00749559712409</v>
      </c>
      <c r="G9" s="34"/>
      <c r="H9" s="33"/>
      <c r="I9" s="33"/>
      <c r="J9" s="33">
        <f>$C$29*('E Balans VL '!D10+'E Balans VL '!E10)/100/3.6*1000000</f>
        <v>0</v>
      </c>
      <c r="K9" s="33"/>
      <c r="L9" s="33"/>
      <c r="M9" s="33"/>
      <c r="N9" s="33">
        <f>$C$29*'E Balans VL '!Y10/100/3.6*1000000</f>
        <v>11.975163771590115</v>
      </c>
      <c r="O9" s="33"/>
      <c r="P9" s="33"/>
      <c r="R9" s="32"/>
    </row>
    <row r="10" spans="1:18">
      <c r="A10" s="32" t="s">
        <v>50</v>
      </c>
      <c r="B10" s="37">
        <f t="shared" si="0"/>
        <v>1113.0901578609401</v>
      </c>
      <c r="C10" s="33"/>
      <c r="D10" s="37">
        <f>IF(ISERROR(TER_ander_gas_kWh/1000),0,TER_ander_gas_kWh/1000)*0.902</f>
        <v>1821.7141170102147</v>
      </c>
      <c r="E10" s="33">
        <f>$C$30*'E Balans VL '!I14/100/3.6*1000000</f>
        <v>1.3267636930488131</v>
      </c>
      <c r="F10" s="33">
        <f>$C$30*('E Balans VL '!L14+'E Balans VL '!N14)/100/3.6*1000000</f>
        <v>291.23386939820358</v>
      </c>
      <c r="G10" s="34"/>
      <c r="H10" s="33"/>
      <c r="I10" s="33"/>
      <c r="J10" s="33">
        <f>$C$30*('E Balans VL '!D14+'E Balans VL '!E14)/100/3.6*1000000</f>
        <v>2.4160824134218495E-2</v>
      </c>
      <c r="K10" s="33"/>
      <c r="L10" s="33"/>
      <c r="M10" s="33"/>
      <c r="N10" s="33">
        <f>$C$30*'E Balans VL '!Y14/100/3.6*1000000</f>
        <v>945.20892512273463</v>
      </c>
      <c r="O10" s="33"/>
      <c r="P10" s="33"/>
      <c r="R10" s="32"/>
    </row>
    <row r="11" spans="1:18">
      <c r="A11" s="32" t="s">
        <v>55</v>
      </c>
      <c r="B11" s="37">
        <f t="shared" si="0"/>
        <v>195.23976188989801</v>
      </c>
      <c r="C11" s="33"/>
      <c r="D11" s="37">
        <f>IF(ISERROR(TER_onderwijs_gas_kWh/1000),0,TER_onderwijs_gas_kWh/1000)*0.902</f>
        <v>234.93941801475256</v>
      </c>
      <c r="E11" s="33">
        <f>$C$31*'E Balans VL '!I11/100/3.6*1000000</f>
        <v>2.9458535433797954</v>
      </c>
      <c r="F11" s="33">
        <f>$C$31*('E Balans VL '!L11+'E Balans VL '!N11)/100/3.6*1000000</f>
        <v>34.209125331096956</v>
      </c>
      <c r="G11" s="34"/>
      <c r="H11" s="33"/>
      <c r="I11" s="33"/>
      <c r="J11" s="33">
        <f>$C$31*('E Balans VL '!D11+'E Balans VL '!E11)/100/3.6*1000000</f>
        <v>0</v>
      </c>
      <c r="K11" s="33"/>
      <c r="L11" s="33"/>
      <c r="M11" s="33"/>
      <c r="N11" s="33">
        <f>$C$31*'E Balans VL '!Y11/100/3.6*1000000</f>
        <v>0.54941953265010934</v>
      </c>
      <c r="O11" s="33"/>
      <c r="P11" s="33"/>
      <c r="R11" s="32"/>
    </row>
    <row r="12" spans="1:18">
      <c r="A12" s="32" t="s">
        <v>260</v>
      </c>
      <c r="B12" s="37">
        <f t="shared" si="0"/>
        <v>6456.9074495465002</v>
      </c>
      <c r="C12" s="33"/>
      <c r="D12" s="37">
        <f>IF(ISERROR(TER_rest_gas_kWh/1000),0,TER_rest_gas_kWh/1000)*0.902</f>
        <v>4779.9144547584319</v>
      </c>
      <c r="E12" s="33">
        <f>$C$32*'E Balans VL '!I8/100/3.6*1000000</f>
        <v>80.181762829334431</v>
      </c>
      <c r="F12" s="33">
        <f>$C$32*('E Balans VL '!L8+'E Balans VL '!N8)/100/3.6*1000000</f>
        <v>1116.5587660736683</v>
      </c>
      <c r="G12" s="34"/>
      <c r="H12" s="33"/>
      <c r="I12" s="33"/>
      <c r="J12" s="33">
        <f>$C$32*('E Balans VL '!D8+'E Balans VL '!E8)/100/3.6*1000000</f>
        <v>1.5635564338938788E-2</v>
      </c>
      <c r="K12" s="33"/>
      <c r="L12" s="33"/>
      <c r="M12" s="33"/>
      <c r="N12" s="33">
        <f>$C$32*'E Balans VL '!Y8/100/3.6*1000000</f>
        <v>625.2265750453621</v>
      </c>
      <c r="O12" s="33"/>
      <c r="P12" s="33"/>
      <c r="R12" s="32"/>
    </row>
    <row r="13" spans="1:18">
      <c r="A13" s="16" t="s">
        <v>488</v>
      </c>
      <c r="B13" s="247">
        <f ca="1">'lokale energieproductie'!N90+'lokale energieproductie'!N59</f>
        <v>6687</v>
      </c>
      <c r="C13" s="247">
        <f ca="1">'lokale energieproductie'!O90+'lokale energieproductie'!O59</f>
        <v>9552.8571428571431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-19105.714285714286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20981.440575903791</v>
      </c>
      <c r="C16" s="21">
        <f t="shared" ca="1" si="1"/>
        <v>9552.8571428571431</v>
      </c>
      <c r="D16" s="21">
        <f t="shared" ca="1" si="1"/>
        <v>14131.617558112543</v>
      </c>
      <c r="E16" s="21">
        <f t="shared" si="1"/>
        <v>218.53446534312195</v>
      </c>
      <c r="F16" s="21">
        <f t="shared" ca="1" si="1"/>
        <v>2527.5117564002512</v>
      </c>
      <c r="G16" s="21">
        <f t="shared" si="1"/>
        <v>0</v>
      </c>
      <c r="H16" s="21">
        <f t="shared" si="1"/>
        <v>0</v>
      </c>
      <c r="I16" s="21">
        <f t="shared" si="1"/>
        <v>0</v>
      </c>
      <c r="J16" s="21">
        <f t="shared" si="1"/>
        <v>3.9796388473157279E-2</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0.18152014669148617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3808.5541711367559</v>
      </c>
      <c r="C20" s="23">
        <f t="shared" ref="C20:P20" ca="1" si="2">C16*C18</f>
        <v>0</v>
      </c>
      <c r="D20" s="23">
        <f t="shared" ca="1" si="2"/>
        <v>2854.5867467387338</v>
      </c>
      <c r="E20" s="23">
        <f t="shared" si="2"/>
        <v>49.607323632888686</v>
      </c>
      <c r="F20" s="23">
        <f t="shared" ca="1" si="2"/>
        <v>674.84563895886708</v>
      </c>
      <c r="G20" s="23">
        <f t="shared" si="2"/>
        <v>0</v>
      </c>
      <c r="H20" s="23">
        <f t="shared" si="2"/>
        <v>0</v>
      </c>
      <c r="I20" s="23">
        <f t="shared" si="2"/>
        <v>0</v>
      </c>
      <c r="J20" s="23">
        <f t="shared" si="2"/>
        <v>1.4087921519497676E-2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1298.5770776212701</v>
      </c>
      <c r="C26" s="39">
        <f>IF(ISERROR(B26*3.6/1000000/'E Balans VL '!Z12*100),0,B26*3.6/1000000/'E Balans VL '!Z12*100)</f>
        <v>2.7449862308659315E-2</v>
      </c>
      <c r="D26" s="237" t="s">
        <v>754</v>
      </c>
      <c r="F26" s="6"/>
    </row>
    <row r="27" spans="1:18">
      <c r="A27" s="231" t="s">
        <v>53</v>
      </c>
      <c r="B27" s="33">
        <f>IF(ISERROR(TER_horeca_ele_kWh/1000),0,TER_horeca_ele_kWh/1000)</f>
        <v>1257.9066856914901</v>
      </c>
      <c r="C27" s="39">
        <f>IF(ISERROR(B27*3.6/1000000/'E Balans VL '!Z9*100),0,B27*3.6/1000000/'E Balans VL '!Z9*100)</f>
        <v>9.9160315187302978E-2</v>
      </c>
      <c r="D27" s="237" t="s">
        <v>754</v>
      </c>
      <c r="F27" s="6"/>
    </row>
    <row r="28" spans="1:18">
      <c r="A28" s="171" t="s">
        <v>52</v>
      </c>
      <c r="B28" s="33">
        <f>IF(ISERROR(TER_handel_ele_kWh/1000),0,TER_handel_ele_kWh/1000)</f>
        <v>3198.5347349182498</v>
      </c>
      <c r="C28" s="39">
        <f>IF(ISERROR(B28*3.6/1000000/'E Balans VL '!Z13*100),0,B28*3.6/1000000/'E Balans VL '!Z13*100)</f>
        <v>9.2834401535816943E-2</v>
      </c>
      <c r="D28" s="237" t="s">
        <v>754</v>
      </c>
      <c r="F28" s="6"/>
    </row>
    <row r="29" spans="1:18">
      <c r="A29" s="231" t="s">
        <v>51</v>
      </c>
      <c r="B29" s="33">
        <f>IF(ISERROR(TER_gezond_ele_kWh/1000),0,TER_gezond_ele_kWh/1000)</f>
        <v>774.18470837544191</v>
      </c>
      <c r="C29" s="39">
        <f>IF(ISERROR(B29*3.6/1000000/'E Balans VL '!Z10*100),0,B29*3.6/1000000/'E Balans VL '!Z10*100)</f>
        <v>8.1534362240405056E-2</v>
      </c>
      <c r="D29" s="237" t="s">
        <v>754</v>
      </c>
      <c r="F29" s="6"/>
    </row>
    <row r="30" spans="1:18">
      <c r="A30" s="231" t="s">
        <v>50</v>
      </c>
      <c r="B30" s="33">
        <f>IF(ISERROR(TER_ander_ele_kWh/1000),0,TER_ander_ele_kWh/1000)</f>
        <v>1113.0901578609401</v>
      </c>
      <c r="C30" s="39">
        <f>IF(ISERROR(B30*3.6/1000000/'E Balans VL '!Z14*100),0,B30*3.6/1000000/'E Balans VL '!Z14*100)</f>
        <v>8.2101771805802609E-2</v>
      </c>
      <c r="D30" s="237" t="s">
        <v>754</v>
      </c>
      <c r="F30" s="6"/>
    </row>
    <row r="31" spans="1:18">
      <c r="A31" s="231" t="s">
        <v>55</v>
      </c>
      <c r="B31" s="33">
        <f>IF(ISERROR(TER_onderwijs_ele_kWh/1000),0,TER_onderwijs_ele_kWh/1000)</f>
        <v>195.23976188989801</v>
      </c>
      <c r="C31" s="39">
        <f>IF(ISERROR(B31*3.6/1000000/'E Balans VL '!Z11*100),0,B31*3.6/1000000/'E Balans VL '!Z11*100)</f>
        <v>4.8487178446309995E-2</v>
      </c>
      <c r="D31" s="237" t="s">
        <v>754</v>
      </c>
    </row>
    <row r="32" spans="1:18">
      <c r="A32" s="231" t="s">
        <v>260</v>
      </c>
      <c r="B32" s="33">
        <f>IF(ISERROR(TER_rest_ele_kWh/1000),0,TER_rest_ele_kWh/1000)</f>
        <v>6456.9074495465002</v>
      </c>
      <c r="C32" s="39">
        <f>IF(ISERROR(B32*3.6/1000000/'E Balans VL '!Z8*100),0,B32*3.6/1000000/'E Balans VL '!Z8*100)</f>
        <v>5.3131777636359991E-2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21621.270970802343</v>
      </c>
      <c r="C5" s="17">
        <f>IF(ISERROR('Eigen informatie GS &amp; warmtenet'!B59),0,'Eigen informatie GS &amp; warmtenet'!B59)</f>
        <v>0</v>
      </c>
      <c r="D5" s="30">
        <f>SUM(D6:D15)</f>
        <v>18564.201337093713</v>
      </c>
      <c r="E5" s="17">
        <f>SUM(E6:E15)</f>
        <v>1570.2900742978272</v>
      </c>
      <c r="F5" s="17">
        <f>SUM(F6:F15)</f>
        <v>5275.5845574116993</v>
      </c>
      <c r="G5" s="18"/>
      <c r="H5" s="17"/>
      <c r="I5" s="17"/>
      <c r="J5" s="17">
        <f>SUM(J6:J15)</f>
        <v>62.562943241532388</v>
      </c>
      <c r="K5" s="17"/>
      <c r="L5" s="17"/>
      <c r="M5" s="17"/>
      <c r="N5" s="17">
        <f>SUM(N6:N15)</f>
        <v>4764.802574933854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1688.2468612994901</v>
      </c>
      <c r="C8" s="33"/>
      <c r="D8" s="37">
        <f>IF( ISERROR(IND_metaal_Gas_kWH/1000),0,IND_metaal_Gas_kWH/1000)*0.902</f>
        <v>247.06915802621361</v>
      </c>
      <c r="E8" s="33">
        <f>C30*'E Balans VL '!I18/100/3.6*1000000</f>
        <v>15.521799365323835</v>
      </c>
      <c r="F8" s="33">
        <f>C30*'E Balans VL '!L18/100/3.6*1000000+C30*'E Balans VL '!N18/100/3.6*1000000</f>
        <v>158.301348162306</v>
      </c>
      <c r="G8" s="34"/>
      <c r="H8" s="33"/>
      <c r="I8" s="33"/>
      <c r="J8" s="40">
        <f>C30*'E Balans VL '!D18/100/3.6*1000000+C30*'E Balans VL '!E18/100/3.6*1000000</f>
        <v>0</v>
      </c>
      <c r="K8" s="33"/>
      <c r="L8" s="33"/>
      <c r="M8" s="33"/>
      <c r="N8" s="33">
        <f>C30*'E Balans VL '!Y18/100/3.6*1000000</f>
        <v>24.085631421863045</v>
      </c>
      <c r="O8" s="33"/>
      <c r="P8" s="33"/>
      <c r="R8" s="32"/>
    </row>
    <row r="9" spans="1:18">
      <c r="A9" s="6" t="s">
        <v>33</v>
      </c>
      <c r="B9" s="37">
        <f t="shared" si="0"/>
        <v>2014.1300580088798</v>
      </c>
      <c r="C9" s="33"/>
      <c r="D9" s="37">
        <f>IF( ISERROR(IND_andere_gas_kWh/1000),0,IND_andere_gas_kWh/1000)*0.902</f>
        <v>1250.6877718160024</v>
      </c>
      <c r="E9" s="33">
        <f>C31*'E Balans VL '!I19/100/3.6*1000000</f>
        <v>588.76942644337475</v>
      </c>
      <c r="F9" s="33">
        <f>C31*'E Balans VL '!L19/100/3.6*1000000+C31*'E Balans VL '!N19/100/3.6*1000000</f>
        <v>1618.5059572469993</v>
      </c>
      <c r="G9" s="34"/>
      <c r="H9" s="33"/>
      <c r="I9" s="33"/>
      <c r="J9" s="40">
        <f>C31*'E Balans VL '!D19/100/3.6*1000000+C31*'E Balans VL '!E19/100/3.6*1000000</f>
        <v>0</v>
      </c>
      <c r="K9" s="33"/>
      <c r="L9" s="33"/>
      <c r="M9" s="33"/>
      <c r="N9" s="33">
        <f>C31*'E Balans VL '!Y19/100/3.6*1000000</f>
        <v>665.49980810863246</v>
      </c>
      <c r="O9" s="33"/>
      <c r="P9" s="33"/>
      <c r="R9" s="32"/>
    </row>
    <row r="10" spans="1:18">
      <c r="A10" s="6" t="s">
        <v>41</v>
      </c>
      <c r="B10" s="37">
        <f t="shared" si="0"/>
        <v>99.996394323105505</v>
      </c>
      <c r="C10" s="33"/>
      <c r="D10" s="37">
        <f>IF( ISERROR(IND_voed_gas_kWh/1000),0,IND_voed_gas_kWh/1000)*0.902</f>
        <v>163.44957917341191</v>
      </c>
      <c r="E10" s="33">
        <f>C32*'E Balans VL '!I20/100/3.6*1000000</f>
        <v>0.21154392265298719</v>
      </c>
      <c r="F10" s="33">
        <f>C32*'E Balans VL '!L20/100/3.6*1000000+C32*'E Balans VL '!N20/100/3.6*1000000</f>
        <v>6.357872894384542</v>
      </c>
      <c r="G10" s="34"/>
      <c r="H10" s="33"/>
      <c r="I10" s="33"/>
      <c r="J10" s="40">
        <f>C32*'E Balans VL '!D20/100/3.6*1000000+C32*'E Balans VL '!E20/100/3.6*1000000</f>
        <v>0</v>
      </c>
      <c r="K10" s="33"/>
      <c r="L10" s="33"/>
      <c r="M10" s="33"/>
      <c r="N10" s="33">
        <f>C32*'E Balans VL '!Y20/100/3.6*1000000</f>
        <v>6.9007379968252263</v>
      </c>
      <c r="O10" s="33"/>
      <c r="P10" s="33"/>
      <c r="R10" s="32"/>
    </row>
    <row r="11" spans="1:18">
      <c r="A11" s="6" t="s">
        <v>40</v>
      </c>
      <c r="B11" s="37">
        <f t="shared" si="0"/>
        <v>299.62648216448997</v>
      </c>
      <c r="C11" s="33"/>
      <c r="D11" s="37">
        <f>IF( ISERROR(IND_textiel_gas_kWh/1000),0,IND_textiel_gas_kWh/1000)*0.902</f>
        <v>0</v>
      </c>
      <c r="E11" s="33">
        <f>C33*'E Balans VL '!I21/100/3.6*1000000</f>
        <v>0.88986481925961469</v>
      </c>
      <c r="F11" s="33">
        <f>C33*'E Balans VL '!L21/100/3.6*1000000+C33*'E Balans VL '!N21/100/3.6*1000000</f>
        <v>30.270500678995152</v>
      </c>
      <c r="G11" s="34"/>
      <c r="H11" s="33"/>
      <c r="I11" s="33"/>
      <c r="J11" s="40">
        <f>C33*'E Balans VL '!D21/100/3.6*1000000+C33*'E Balans VL '!E21/100/3.6*1000000</f>
        <v>0</v>
      </c>
      <c r="K11" s="33"/>
      <c r="L11" s="33"/>
      <c r="M11" s="33"/>
      <c r="N11" s="33">
        <f>C33*'E Balans VL '!Y21/100/3.6*1000000</f>
        <v>16.52535670561927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45.459797188673001</v>
      </c>
      <c r="C13" s="33"/>
      <c r="D13" s="37">
        <f>IF( ISERROR(IND_papier_gas_kWh/1000),0,IND_papier_gas_kWh/1000)*0.902</f>
        <v>0</v>
      </c>
      <c r="E13" s="33">
        <f>C35*'E Balans VL '!I23/100/3.6*1000000</f>
        <v>6.449705563581834E-2</v>
      </c>
      <c r="F13" s="33">
        <f>C35*'E Balans VL '!L23/100/3.6*1000000+C35*'E Balans VL '!N23/100/3.6*1000000</f>
        <v>1.1098445892341839</v>
      </c>
      <c r="G13" s="34"/>
      <c r="H13" s="33"/>
      <c r="I13" s="33"/>
      <c r="J13" s="40">
        <f>C35*'E Balans VL '!D23/100/3.6*1000000+C35*'E Balans VL '!E23/100/3.6*1000000</f>
        <v>7.0307844378125484E-3</v>
      </c>
      <c r="K13" s="33"/>
      <c r="L13" s="33"/>
      <c r="M13" s="33"/>
      <c r="N13" s="33">
        <f>C35*'E Balans VL '!Y23/100/3.6*1000000</f>
        <v>132.14086935433676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17473.811377817703</v>
      </c>
      <c r="C15" s="33"/>
      <c r="D15" s="37">
        <f>IF( ISERROR(IND_rest_gas_kWh/1000),0,IND_rest_gas_kWh/1000)*0.902</f>
        <v>16902.994828078085</v>
      </c>
      <c r="E15" s="33">
        <f>C37*'E Balans VL '!I15/100/3.6*1000000</f>
        <v>964.83294269158023</v>
      </c>
      <c r="F15" s="33">
        <f>C37*'E Balans VL '!L15/100/3.6*1000000+C37*'E Balans VL '!N15/100/3.6*1000000</f>
        <v>3461.0390338397801</v>
      </c>
      <c r="G15" s="34"/>
      <c r="H15" s="33"/>
      <c r="I15" s="33"/>
      <c r="J15" s="40">
        <f>C37*'E Balans VL '!D15/100/3.6*1000000+C37*'E Balans VL '!E15/100/3.6*1000000</f>
        <v>62.555912457094578</v>
      </c>
      <c r="K15" s="33"/>
      <c r="L15" s="33"/>
      <c r="M15" s="33"/>
      <c r="N15" s="33">
        <f>C37*'E Balans VL '!Y15/100/3.6*1000000</f>
        <v>3919.6501713465777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21621.270970802343</v>
      </c>
      <c r="C18" s="21">
        <f>C5+C16</f>
        <v>0</v>
      </c>
      <c r="D18" s="21">
        <f>MAX((D5+D16),0)</f>
        <v>18564.201337093713</v>
      </c>
      <c r="E18" s="21">
        <f>MAX((E5+E16),0)</f>
        <v>1570.2900742978272</v>
      </c>
      <c r="F18" s="21">
        <f>MAX((F5+F16),0)</f>
        <v>5275.5845574116993</v>
      </c>
      <c r="G18" s="21"/>
      <c r="H18" s="21"/>
      <c r="I18" s="21"/>
      <c r="J18" s="21">
        <f>MAX((J5+J16),0)</f>
        <v>62.562943241532388</v>
      </c>
      <c r="K18" s="21"/>
      <c r="L18" s="21">
        <f>MAX((L5+L16),0)</f>
        <v>0</v>
      </c>
      <c r="M18" s="21"/>
      <c r="N18" s="21">
        <f>MAX((N5+N16),0)</f>
        <v>4764.802574933854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0.18152014669148617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3924.6962782764131</v>
      </c>
      <c r="C22" s="23">
        <f ca="1">C18*C20</f>
        <v>0</v>
      </c>
      <c r="D22" s="23">
        <f>D18*D20</f>
        <v>3749.9686700929301</v>
      </c>
      <c r="E22" s="23">
        <f>E18*E20</f>
        <v>356.45584686560682</v>
      </c>
      <c r="F22" s="23">
        <f>F18*F20</f>
        <v>1408.5810768289239</v>
      </c>
      <c r="G22" s="23"/>
      <c r="H22" s="23"/>
      <c r="I22" s="23"/>
      <c r="J22" s="23">
        <f>J18*J20</f>
        <v>22.147281907502464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1688.2468612994901</v>
      </c>
      <c r="C30" s="39">
        <f>IF(ISERROR(B30*3.6/1000000/'E Balans VL '!Z18*100),0,B30*3.6/1000000/'E Balans VL '!Z18*100)</f>
        <v>9.5677278577928626E-2</v>
      </c>
      <c r="D30" s="237" t="s">
        <v>754</v>
      </c>
    </row>
    <row r="31" spans="1:18">
      <c r="A31" s="6" t="s">
        <v>33</v>
      </c>
      <c r="B31" s="37">
        <f>IF( ISERROR(IND_ander_ele_kWh/1000),0,IND_ander_ele_kWh/1000)</f>
        <v>2014.1300580088798</v>
      </c>
      <c r="C31" s="39">
        <f>IF(ISERROR(B31*3.6/1000000/'E Balans VL '!Z19*100),0,B31*3.6/1000000/'E Balans VL '!Z19*100)</f>
        <v>9.1352552739689036E-2</v>
      </c>
      <c r="D31" s="237" t="s">
        <v>754</v>
      </c>
    </row>
    <row r="32" spans="1:18">
      <c r="A32" s="171" t="s">
        <v>41</v>
      </c>
      <c r="B32" s="37">
        <f>IF( ISERROR(IND_voed_ele_kWh/1000),0,IND_voed_ele_kWh/1000)</f>
        <v>99.996394323105505</v>
      </c>
      <c r="C32" s="39">
        <f>IF(ISERROR(B32*3.6/1000000/'E Balans VL '!Z20*100),0,B32*3.6/1000000/'E Balans VL '!Z20*100)</f>
        <v>3.0933424217147848E-3</v>
      </c>
      <c r="D32" s="237" t="s">
        <v>754</v>
      </c>
    </row>
    <row r="33" spans="1:5">
      <c r="A33" s="171" t="s">
        <v>40</v>
      </c>
      <c r="B33" s="37">
        <f>IF( ISERROR(IND_textiel_ele_kWh/1000),0,IND_textiel_ele_kWh/1000)</f>
        <v>299.62648216448997</v>
      </c>
      <c r="C33" s="39">
        <f>IF(ISERROR(B33*3.6/1000000/'E Balans VL '!Z21*100),0,B33*3.6/1000000/'E Balans VL '!Z21*100)</f>
        <v>3.9067962756309804E-2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45.459797188673001</v>
      </c>
      <c r="C35" s="39">
        <f>IF(ISERROR(B35*3.6/1000000/'E Balans VL '!Z22*100),0,B35*3.6/1000000/'E Balans VL '!Z22*100)</f>
        <v>8.1767991849047653E-3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17473.811377817703</v>
      </c>
      <c r="C37" s="39">
        <f>IF(ISERROR(B37*3.6/1000000/'E Balans VL '!Z15*100),0,B37*3.6/1000000/'E Balans VL '!Z15*100)</f>
        <v>0.13850141505051528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2179.0610796611204</v>
      </c>
      <c r="C5" s="17">
        <f>'Eigen informatie GS &amp; warmtenet'!B60</f>
        <v>0</v>
      </c>
      <c r="D5" s="30">
        <f>IF(ISERROR(SUM(LB_lb_gas_kWh,LB_rest_gas_kWh,onbekend_gas_kWh)/1000),0,SUM(LB_lb_gas_kWh,LB_rest_gas_kWh,onbekend_gas_kWh)/1000)*0.902</f>
        <v>1676.0327825394825</v>
      </c>
      <c r="E5" s="17">
        <f>B17*'E Balans VL '!I25/3.6*1000000/100</f>
        <v>64.049260751979332</v>
      </c>
      <c r="F5" s="17">
        <f>B17*('E Balans VL '!L25/3.6*1000000+'E Balans VL '!N25/3.6*1000000)/100</f>
        <v>9077.8507075879206</v>
      </c>
      <c r="G5" s="18"/>
      <c r="H5" s="17"/>
      <c r="I5" s="17"/>
      <c r="J5" s="17">
        <f>('E Balans VL '!D25+'E Balans VL '!E25)/3.6*1000000*landbouw!B17/100</f>
        <v>315.6991545705435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2179.0610796611204</v>
      </c>
      <c r="C8" s="21">
        <f>C5+C6</f>
        <v>0</v>
      </c>
      <c r="D8" s="21">
        <f>MAX((D5+D6),0)</f>
        <v>1676.0327825394825</v>
      </c>
      <c r="E8" s="21">
        <f>MAX((E5+E6),0)</f>
        <v>64.049260751979332</v>
      </c>
      <c r="F8" s="21">
        <f>MAX((F5+F6),0)</f>
        <v>9077.8507075879206</v>
      </c>
      <c r="G8" s="21"/>
      <c r="H8" s="21"/>
      <c r="I8" s="21"/>
      <c r="J8" s="21">
        <f>MAX((J5+J6),0)</f>
        <v>315.6991545705435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0.18152014669148617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395.5434868297948</v>
      </c>
      <c r="C12" s="23">
        <f ca="1">C8*C10</f>
        <v>0</v>
      </c>
      <c r="D12" s="23">
        <f>D8*D10</f>
        <v>338.55862207297548</v>
      </c>
      <c r="E12" s="23">
        <f>E8*E10</f>
        <v>14.539182190699309</v>
      </c>
      <c r="F12" s="23">
        <f>F8*F10</f>
        <v>2423.7861389259751</v>
      </c>
      <c r="G12" s="23"/>
      <c r="H12" s="23"/>
      <c r="I12" s="23"/>
      <c r="J12" s="23">
        <f>J8*J10</f>
        <v>111.75750071797239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0.30921560379955548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327.88284245077654</v>
      </c>
      <c r="C26" s="247">
        <f>B26*'GWP N2O_CH4'!B5</f>
        <v>6885.539691466307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229.22910557110535</v>
      </c>
      <c r="C27" s="247">
        <f>B27*'GWP N2O_CH4'!B5</f>
        <v>4813.8112169932119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4.6912474071073724</v>
      </c>
      <c r="C28" s="247">
        <f>B28*'GWP N2O_CH4'!B4</f>
        <v>1454.2866962032854</v>
      </c>
      <c r="D28" s="50"/>
    </row>
    <row r="29" spans="1:4">
      <c r="A29" s="41" t="s">
        <v>277</v>
      </c>
      <c r="B29" s="247">
        <f>B34*'ha_N2O bodem landbouw'!B4</f>
        <v>16.408152689383897</v>
      </c>
      <c r="C29" s="247">
        <f>B29*'GWP N2O_CH4'!B4</f>
        <v>5086.5273337090084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3.7442838987077156E-3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5.2180820842797588E-5</v>
      </c>
      <c r="C5" s="463" t="s">
        <v>211</v>
      </c>
      <c r="D5" s="448">
        <f>SUM(D6:D11)</f>
        <v>2.5070584819802846E-4</v>
      </c>
      <c r="E5" s="448">
        <f>SUM(E6:E11)</f>
        <v>3.2077166660245728E-4</v>
      </c>
      <c r="F5" s="461" t="s">
        <v>211</v>
      </c>
      <c r="G5" s="448">
        <f>SUM(G6:G11)</f>
        <v>0.10102621249534163</v>
      </c>
      <c r="H5" s="448">
        <f>SUM(H6:H11)</f>
        <v>2.7825791101614976E-2</v>
      </c>
      <c r="I5" s="463" t="s">
        <v>211</v>
      </c>
      <c r="J5" s="463" t="s">
        <v>211</v>
      </c>
      <c r="K5" s="463" t="s">
        <v>211</v>
      </c>
      <c r="L5" s="463" t="s">
        <v>211</v>
      </c>
      <c r="M5" s="448">
        <f>SUM(M6:M11)</f>
        <v>6.7283196353803048E-3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1.1816638174335729E-5</v>
      </c>
      <c r="C6" s="449"/>
      <c r="D6" s="962">
        <f>vkm_2011_GW_PW*SUMIFS(TableVerdeelsleutelVkm[CNG],TableVerdeelsleutelVkm[Voertuigtype],"Lichte voertuigen")*SUMIFS(TableECFTransport[EnergieConsumptieFactor (PJ per km)],TableECFTransport[Index],CONCATENATE($A6,"_CNG_CNG"))</f>
        <v>3.544313238960467E-5</v>
      </c>
      <c r="E6" s="962">
        <f>vkm_2011_GW_PW*SUMIFS(TableVerdeelsleutelVkm[LPG],TableVerdeelsleutelVkm[Voertuigtype],"Lichte voertuigen")*SUMIFS(TableECFTransport[EnergieConsumptieFactor (PJ per km)],TableECFTransport[Index],CONCATENATE($A6,"_LPG_LPG"))</f>
        <v>4.8420409999264147E-5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1.251929839971639E-2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4.0305433908522665E-3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8.510600450325782E-4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5.1572208842576477E-3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1.5715412097028137E-6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3.0137086392093237E-4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4.0364182668461861E-5</v>
      </c>
      <c r="C8" s="449"/>
      <c r="D8" s="451">
        <f>vkm_2011_NGW_PW*SUMIFS(TableVerdeelsleutelVkm[CNG],TableVerdeelsleutelVkm[Voertuigtype],"Lichte voertuigen")*SUMIFS(TableECFTransport[EnergieConsumptieFactor (PJ per km)],TableECFTransport[Index],CONCATENATE($A8,"_CNG_CNG"))</f>
        <v>2.1526271580842377E-4</v>
      </c>
      <c r="E8" s="451">
        <f>vkm_2011_NGW_PW*SUMIFS(TableVerdeelsleutelVkm[LPG],TableVerdeelsleutelVkm[Voertuigtype],"Lichte voertuigen")*SUMIFS(TableECFTransport[EnergieConsumptieFactor (PJ per km)],TableECFTransport[Index],CONCATENATE($A8,"_LPG_LPG"))</f>
        <v>2.7235125660319312E-4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6.5621705986746728E-2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2.378859047909726E-2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4.539933409273918E-3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1.7727987224620871E-2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5.0856904557452561E-6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1.0359553171528759E-3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14.494672456332662</v>
      </c>
      <c r="C14" s="21"/>
      <c r="D14" s="21">
        <f t="shared" ref="D14:M14" si="0">((D5)*10^9/3600)+D12</f>
        <v>69.640513388341233</v>
      </c>
      <c r="E14" s="21">
        <f t="shared" si="0"/>
        <v>89.1032407229048</v>
      </c>
      <c r="F14" s="21"/>
      <c r="G14" s="21">
        <f t="shared" si="0"/>
        <v>28062.836804261562</v>
      </c>
      <c r="H14" s="21">
        <f t="shared" si="0"/>
        <v>7729.3864171152709</v>
      </c>
      <c r="I14" s="21"/>
      <c r="J14" s="21"/>
      <c r="K14" s="21"/>
      <c r="L14" s="21"/>
      <c r="M14" s="21">
        <f t="shared" si="0"/>
        <v>1868.9776764945291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0.18152014669148617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2.6310750705185488</v>
      </c>
      <c r="C18" s="23"/>
      <c r="D18" s="23">
        <f t="shared" ref="D18:M18" si="1">D14*D16</f>
        <v>14.06738370444493</v>
      </c>
      <c r="E18" s="23">
        <f t="shared" si="1"/>
        <v>20.226435644099389</v>
      </c>
      <c r="F18" s="23"/>
      <c r="G18" s="23">
        <f t="shared" si="1"/>
        <v>7492.7774267378372</v>
      </c>
      <c r="H18" s="23">
        <f t="shared" si="1"/>
        <v>1924.6172178617026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4.2424669534645455E-3</v>
      </c>
      <c r="H50" s="321">
        <f t="shared" si="2"/>
        <v>0</v>
      </c>
      <c r="I50" s="321">
        <f t="shared" si="2"/>
        <v>0</v>
      </c>
      <c r="J50" s="321">
        <f t="shared" si="2"/>
        <v>0</v>
      </c>
      <c r="K50" s="321">
        <f t="shared" si="2"/>
        <v>0</v>
      </c>
      <c r="L50" s="321">
        <f t="shared" si="2"/>
        <v>0</v>
      </c>
      <c r="M50" s="321">
        <f t="shared" si="2"/>
        <v>2.4095339426236112E-4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4.2424669534645455E-3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2.4095339426236112E-4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1178.4630426290403</v>
      </c>
      <c r="H54" s="21">
        <f t="shared" si="3"/>
        <v>0</v>
      </c>
      <c r="I54" s="21">
        <f t="shared" si="3"/>
        <v>0</v>
      </c>
      <c r="J54" s="21">
        <f t="shared" si="3"/>
        <v>0</v>
      </c>
      <c r="K54" s="21">
        <f t="shared" si="3"/>
        <v>0</v>
      </c>
      <c r="L54" s="21">
        <f t="shared" si="3"/>
        <v>0</v>
      </c>
      <c r="M54" s="21">
        <f t="shared" si="3"/>
        <v>66.931498406211418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0.18152014669148617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314.64963238195378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4699.8921624123132</v>
      </c>
      <c r="C6" s="1204"/>
      <c r="D6" s="1189"/>
      <c r="E6" s="1189"/>
      <c r="F6" s="1207"/>
      <c r="G6" s="1210"/>
      <c r="H6" s="1201"/>
      <c r="I6" s="1189"/>
      <c r="J6" s="1189"/>
      <c r="K6" s="1189"/>
      <c r="L6" s="1193"/>
      <c r="M6" s="575"/>
      <c r="N6" s="1167"/>
      <c r="O6" s="1168"/>
      <c r="Q6" s="573"/>
      <c r="R6" s="1155"/>
      <c r="S6" s="1155"/>
    </row>
    <row r="7" spans="1:19" s="563" customFormat="1">
      <c r="A7" s="576" t="s">
        <v>252</v>
      </c>
      <c r="B7" s="577">
        <f>N57</f>
        <v>6687</v>
      </c>
      <c r="C7" s="578">
        <f>B100</f>
        <v>0</v>
      </c>
      <c r="D7" s="579"/>
      <c r="E7" s="579">
        <f>E100</f>
        <v>0</v>
      </c>
      <c r="F7" s="580"/>
      <c r="G7" s="581"/>
      <c r="H7" s="579">
        <f>I100</f>
        <v>0</v>
      </c>
      <c r="I7" s="579">
        <f>G100+F100</f>
        <v>0</v>
      </c>
      <c r="J7" s="579">
        <f>H100+D100+C100</f>
        <v>7867.0588235294117</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11386.892162412314</v>
      </c>
      <c r="C9" s="594">
        <f t="shared" ref="C9:L9" si="0">SUM(C7:C8)</f>
        <v>0</v>
      </c>
      <c r="D9" s="594">
        <f t="shared" si="0"/>
        <v>0</v>
      </c>
      <c r="E9" s="594">
        <f t="shared" si="0"/>
        <v>0</v>
      </c>
      <c r="F9" s="594">
        <f t="shared" si="0"/>
        <v>0</v>
      </c>
      <c r="G9" s="594">
        <f t="shared" si="0"/>
        <v>0</v>
      </c>
      <c r="H9" s="594">
        <f t="shared" si="0"/>
        <v>0</v>
      </c>
      <c r="I9" s="594">
        <f t="shared" si="0"/>
        <v>0</v>
      </c>
      <c r="J9" s="594">
        <f t="shared" si="0"/>
        <v>7867.0588235294117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9552.8571428571431</v>
      </c>
      <c r="C16" s="610">
        <f>B101</f>
        <v>0</v>
      </c>
      <c r="D16" s="611"/>
      <c r="E16" s="611">
        <f>E101</f>
        <v>0</v>
      </c>
      <c r="F16" s="612"/>
      <c r="G16" s="613"/>
      <c r="H16" s="610">
        <f>I101</f>
        <v>0</v>
      </c>
      <c r="I16" s="611">
        <f>G101+F101</f>
        <v>0</v>
      </c>
      <c r="J16" s="611">
        <f>H101+D101+C101</f>
        <v>11238.655462184875</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9552.8571428571431</v>
      </c>
      <c r="C19" s="593">
        <f>SUM(C16:C18)</f>
        <v>0</v>
      </c>
      <c r="D19" s="593">
        <f t="shared" ref="D19:M19" si="1">SUM(D16:D18)</f>
        <v>0</v>
      </c>
      <c r="E19" s="593">
        <f t="shared" si="1"/>
        <v>0</v>
      </c>
      <c r="F19" s="593">
        <f t="shared" si="1"/>
        <v>0</v>
      </c>
      <c r="G19" s="593">
        <f t="shared" si="1"/>
        <v>0</v>
      </c>
      <c r="H19" s="593">
        <f t="shared" si="1"/>
        <v>0</v>
      </c>
      <c r="I19" s="593">
        <f t="shared" si="1"/>
        <v>0</v>
      </c>
      <c r="J19" s="593">
        <f t="shared" si="1"/>
        <v>11238.655462184875</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36012</v>
      </c>
      <c r="C27" s="851">
        <v>8890</v>
      </c>
      <c r="D27" s="672" t="s">
        <v>809</v>
      </c>
      <c r="E27" s="671" t="s">
        <v>810</v>
      </c>
      <c r="F27" s="671" t="s">
        <v>811</v>
      </c>
      <c r="G27" s="671" t="s">
        <v>812</v>
      </c>
      <c r="H27" s="671" t="s">
        <v>813</v>
      </c>
      <c r="I27" s="671" t="s">
        <v>814</v>
      </c>
      <c r="J27" s="850">
        <v>40634</v>
      </c>
      <c r="K27" s="850">
        <v>40634</v>
      </c>
      <c r="L27" s="671" t="s">
        <v>815</v>
      </c>
      <c r="M27" s="671">
        <v>1486</v>
      </c>
      <c r="N27" s="671">
        <v>6687</v>
      </c>
      <c r="O27" s="671">
        <v>9552.8571428571431</v>
      </c>
      <c r="P27" s="671">
        <v>0</v>
      </c>
      <c r="Q27" s="671">
        <v>19105.714285714286</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1486</v>
      </c>
      <c r="N57" s="629">
        <f>SUM(N27:N56)</f>
        <v>6687</v>
      </c>
      <c r="O57" s="629">
        <f t="shared" ref="O57:W57" si="2">SUM(O27:O56)</f>
        <v>9552.8571428571431</v>
      </c>
      <c r="P57" s="629">
        <f t="shared" si="2"/>
        <v>0</v>
      </c>
      <c r="Q57" s="629">
        <f t="shared" si="2"/>
        <v>19105.714285714286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1486</v>
      </c>
      <c r="N59" s="629">
        <f ca="1">SUMIF($Z$27:AB56,"tertiair",N27:N56)</f>
        <v>6687</v>
      </c>
      <c r="O59" s="629">
        <f ca="1">SUMIF($Z$27:AC56,"tertiair",O27:O56)</f>
        <v>9552.8571428571431</v>
      </c>
      <c r="P59" s="629">
        <f ca="1">SUMIF($Z$27:AD56,"tertiair",P27:P56)</f>
        <v>0</v>
      </c>
      <c r="Q59" s="629">
        <f ca="1">SUMIF($Z$27:AE56,"tertiair",Q27:Q56)</f>
        <v>19105.714285714286</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7867.0588235294117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11238.655462184875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21966.429575903792</v>
      </c>
      <c r="D10" s="718">
        <f ca="1">tertiair!C16</f>
        <v>9552.8571428571431</v>
      </c>
      <c r="E10" s="718">
        <f ca="1">tertiair!D16</f>
        <v>14131.617558112543</v>
      </c>
      <c r="F10" s="718">
        <f>tertiair!E16</f>
        <v>218.53446534312195</v>
      </c>
      <c r="G10" s="718">
        <f ca="1">tertiair!F16</f>
        <v>2527.5117564002512</v>
      </c>
      <c r="H10" s="718">
        <f>tertiair!G16</f>
        <v>0</v>
      </c>
      <c r="I10" s="718">
        <f>tertiair!H16</f>
        <v>0</v>
      </c>
      <c r="J10" s="718">
        <f>tertiair!I16</f>
        <v>0</v>
      </c>
      <c r="K10" s="718">
        <f>tertiair!J16</f>
        <v>3.9796388473157279E-2</v>
      </c>
      <c r="L10" s="718">
        <f>tertiair!K16</f>
        <v>0</v>
      </c>
      <c r="M10" s="718">
        <f ca="1">tertiair!L16</f>
        <v>0</v>
      </c>
      <c r="N10" s="718">
        <f>tertiair!M16</f>
        <v>0</v>
      </c>
      <c r="O10" s="718">
        <f ca="1">tertiair!N16</f>
        <v>0</v>
      </c>
      <c r="P10" s="718">
        <f>tertiair!O16</f>
        <v>6.2533333333333339</v>
      </c>
      <c r="Q10" s="719">
        <f>tertiair!P16</f>
        <v>38.133333333333333</v>
      </c>
      <c r="R10" s="721">
        <f ca="1">SUM(C10:Q10)</f>
        <v>48441.376961671995</v>
      </c>
      <c r="S10" s="67"/>
    </row>
    <row r="11" spans="1:19" s="474" customFormat="1">
      <c r="A11" s="870" t="s">
        <v>225</v>
      </c>
      <c r="B11" s="875"/>
      <c r="C11" s="718">
        <f>huishoudens!B8</f>
        <v>17960.195530493002</v>
      </c>
      <c r="D11" s="718">
        <f>huishoudens!C8</f>
        <v>0</v>
      </c>
      <c r="E11" s="718">
        <f>huishoudens!D8</f>
        <v>41289.515974642934</v>
      </c>
      <c r="F11" s="718">
        <f>huishoudens!E8</f>
        <v>6194.5907085379386</v>
      </c>
      <c r="G11" s="718">
        <f>huishoudens!F8</f>
        <v>10031.711073578825</v>
      </c>
      <c r="H11" s="718">
        <f>huishoudens!G8</f>
        <v>0</v>
      </c>
      <c r="I11" s="718">
        <f>huishoudens!H8</f>
        <v>0</v>
      </c>
      <c r="J11" s="718">
        <f>huishoudens!I8</f>
        <v>0</v>
      </c>
      <c r="K11" s="718">
        <f>huishoudens!J8</f>
        <v>1357.5225882503801</v>
      </c>
      <c r="L11" s="718">
        <f>huishoudens!K8</f>
        <v>0</v>
      </c>
      <c r="M11" s="718">
        <f>huishoudens!L8</f>
        <v>0</v>
      </c>
      <c r="N11" s="718">
        <f>huishoudens!M8</f>
        <v>0</v>
      </c>
      <c r="O11" s="718">
        <f>huishoudens!N8</f>
        <v>17972.732670716894</v>
      </c>
      <c r="P11" s="718">
        <f>huishoudens!O8</f>
        <v>326.73666666666668</v>
      </c>
      <c r="Q11" s="719">
        <f>huishoudens!P8</f>
        <v>610.13333333333333</v>
      </c>
      <c r="R11" s="721">
        <f>SUM(C11:Q11)</f>
        <v>95743.138546219983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21621.270970802343</v>
      </c>
      <c r="D13" s="718">
        <f>industrie!C18</f>
        <v>0</v>
      </c>
      <c r="E13" s="718">
        <f>industrie!D18</f>
        <v>18564.201337093713</v>
      </c>
      <c r="F13" s="718">
        <f>industrie!E18</f>
        <v>1570.2900742978272</v>
      </c>
      <c r="G13" s="718">
        <f>industrie!F18</f>
        <v>5275.5845574116993</v>
      </c>
      <c r="H13" s="718">
        <f>industrie!G18</f>
        <v>0</v>
      </c>
      <c r="I13" s="718">
        <f>industrie!H18</f>
        <v>0</v>
      </c>
      <c r="J13" s="718">
        <f>industrie!I18</f>
        <v>0</v>
      </c>
      <c r="K13" s="718">
        <f>industrie!J18</f>
        <v>62.562943241532388</v>
      </c>
      <c r="L13" s="718">
        <f>industrie!K18</f>
        <v>0</v>
      </c>
      <c r="M13" s="718">
        <f>industrie!L18</f>
        <v>0</v>
      </c>
      <c r="N13" s="718">
        <f>industrie!M18</f>
        <v>0</v>
      </c>
      <c r="O13" s="718">
        <f>industrie!N18</f>
        <v>4764.802574933854</v>
      </c>
      <c r="P13" s="718">
        <f>industrie!O18</f>
        <v>0</v>
      </c>
      <c r="Q13" s="719">
        <f>industrie!P18</f>
        <v>0</v>
      </c>
      <c r="R13" s="721">
        <f>SUM(C13:Q13)</f>
        <v>51858.712457780959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61547.896077199141</v>
      </c>
      <c r="D15" s="723">
        <f t="shared" ref="D15:Q15" ca="1" si="0">SUM(D9:D14)</f>
        <v>9552.8571428571431</v>
      </c>
      <c r="E15" s="723">
        <f t="shared" ca="1" si="0"/>
        <v>73985.33486984919</v>
      </c>
      <c r="F15" s="723">
        <f t="shared" si="0"/>
        <v>7983.4152481788879</v>
      </c>
      <c r="G15" s="723">
        <f t="shared" ca="1" si="0"/>
        <v>17834.807387390778</v>
      </c>
      <c r="H15" s="723">
        <f t="shared" si="0"/>
        <v>0</v>
      </c>
      <c r="I15" s="723">
        <f t="shared" si="0"/>
        <v>0</v>
      </c>
      <c r="J15" s="723">
        <f t="shared" si="0"/>
        <v>0</v>
      </c>
      <c r="K15" s="723">
        <f t="shared" si="0"/>
        <v>1420.1253278803856</v>
      </c>
      <c r="L15" s="723">
        <f t="shared" si="0"/>
        <v>0</v>
      </c>
      <c r="M15" s="723">
        <f t="shared" ca="1" si="0"/>
        <v>0</v>
      </c>
      <c r="N15" s="723">
        <f t="shared" si="0"/>
        <v>0</v>
      </c>
      <c r="O15" s="723">
        <f t="shared" ca="1" si="0"/>
        <v>22737.535245650746</v>
      </c>
      <c r="P15" s="723">
        <f t="shared" si="0"/>
        <v>332.99</v>
      </c>
      <c r="Q15" s="724">
        <f t="shared" si="0"/>
        <v>648.26666666666665</v>
      </c>
      <c r="R15" s="725">
        <f ca="1">SUM(R9:R14)</f>
        <v>196043.22796567294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1178.4630426290403</v>
      </c>
      <c r="I18" s="718">
        <f>transport!H54</f>
        <v>0</v>
      </c>
      <c r="J18" s="718">
        <f>transport!I54</f>
        <v>0</v>
      </c>
      <c r="K18" s="718">
        <f>transport!J54</f>
        <v>0</v>
      </c>
      <c r="L18" s="718">
        <f>transport!K54</f>
        <v>0</v>
      </c>
      <c r="M18" s="718">
        <f>transport!L54</f>
        <v>0</v>
      </c>
      <c r="N18" s="718">
        <f>transport!M54</f>
        <v>66.931498406211418</v>
      </c>
      <c r="O18" s="718">
        <f>transport!N54</f>
        <v>0</v>
      </c>
      <c r="P18" s="718">
        <f>transport!O54</f>
        <v>0</v>
      </c>
      <c r="Q18" s="719">
        <f>transport!P54</f>
        <v>0</v>
      </c>
      <c r="R18" s="721">
        <f>SUM(C18:Q18)</f>
        <v>1245.3945410352517</v>
      </c>
      <c r="S18" s="67"/>
    </row>
    <row r="19" spans="1:19" s="474" customFormat="1" ht="15" thickBot="1">
      <c r="A19" s="870" t="s">
        <v>307</v>
      </c>
      <c r="B19" s="875"/>
      <c r="C19" s="727">
        <f>transport!B14</f>
        <v>14.494672456332662</v>
      </c>
      <c r="D19" s="727">
        <f>transport!C14</f>
        <v>0</v>
      </c>
      <c r="E19" s="727">
        <f>transport!D14</f>
        <v>69.640513388341233</v>
      </c>
      <c r="F19" s="727">
        <f>transport!E14</f>
        <v>89.1032407229048</v>
      </c>
      <c r="G19" s="727">
        <f>transport!F14</f>
        <v>0</v>
      </c>
      <c r="H19" s="727">
        <f>transport!G14</f>
        <v>28062.836804261562</v>
      </c>
      <c r="I19" s="727">
        <f>transport!H14</f>
        <v>7729.3864171152709</v>
      </c>
      <c r="J19" s="727">
        <f>transport!I14</f>
        <v>0</v>
      </c>
      <c r="K19" s="727">
        <f>transport!J14</f>
        <v>0</v>
      </c>
      <c r="L19" s="727">
        <f>transport!K14</f>
        <v>0</v>
      </c>
      <c r="M19" s="727">
        <f>transport!L14</f>
        <v>0</v>
      </c>
      <c r="N19" s="727">
        <f>transport!M14</f>
        <v>1868.9776764945291</v>
      </c>
      <c r="O19" s="727">
        <f>transport!N14</f>
        <v>0</v>
      </c>
      <c r="P19" s="727">
        <f>transport!O14</f>
        <v>0</v>
      </c>
      <c r="Q19" s="728">
        <f>transport!P14</f>
        <v>0</v>
      </c>
      <c r="R19" s="729">
        <f>SUM(C19:Q19)</f>
        <v>37834.439324438936</v>
      </c>
      <c r="S19" s="67"/>
    </row>
    <row r="20" spans="1:19" s="474" customFormat="1" ht="15.75" thickBot="1">
      <c r="A20" s="730" t="s">
        <v>230</v>
      </c>
      <c r="B20" s="878"/>
      <c r="C20" s="873">
        <f>SUM(C17:C19)</f>
        <v>14.494672456332662</v>
      </c>
      <c r="D20" s="731">
        <f t="shared" ref="D20:R20" si="1">SUM(D17:D19)</f>
        <v>0</v>
      </c>
      <c r="E20" s="731">
        <f t="shared" si="1"/>
        <v>69.640513388341233</v>
      </c>
      <c r="F20" s="731">
        <f t="shared" si="1"/>
        <v>89.1032407229048</v>
      </c>
      <c r="G20" s="731">
        <f t="shared" si="1"/>
        <v>0</v>
      </c>
      <c r="H20" s="731">
        <f t="shared" si="1"/>
        <v>29241.299846890601</v>
      </c>
      <c r="I20" s="731">
        <f t="shared" si="1"/>
        <v>7729.3864171152709</v>
      </c>
      <c r="J20" s="731">
        <f t="shared" si="1"/>
        <v>0</v>
      </c>
      <c r="K20" s="731">
        <f t="shared" si="1"/>
        <v>0</v>
      </c>
      <c r="L20" s="731">
        <f t="shared" si="1"/>
        <v>0</v>
      </c>
      <c r="M20" s="731">
        <f t="shared" si="1"/>
        <v>0</v>
      </c>
      <c r="N20" s="731">
        <f t="shared" si="1"/>
        <v>1935.9091749007405</v>
      </c>
      <c r="O20" s="731">
        <f t="shared" si="1"/>
        <v>0</v>
      </c>
      <c r="P20" s="731">
        <f t="shared" si="1"/>
        <v>0</v>
      </c>
      <c r="Q20" s="732">
        <f t="shared" si="1"/>
        <v>0</v>
      </c>
      <c r="R20" s="733">
        <f t="shared" si="1"/>
        <v>39079.833865474189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2179.0610796611204</v>
      </c>
      <c r="D22" s="727">
        <f>+landbouw!C8</f>
        <v>0</v>
      </c>
      <c r="E22" s="727">
        <f>+landbouw!D8</f>
        <v>1676.0327825394825</v>
      </c>
      <c r="F22" s="727">
        <f>+landbouw!E8</f>
        <v>64.049260751979332</v>
      </c>
      <c r="G22" s="727">
        <f>+landbouw!F8</f>
        <v>9077.8507075879206</v>
      </c>
      <c r="H22" s="727">
        <f>+landbouw!G8</f>
        <v>0</v>
      </c>
      <c r="I22" s="727">
        <f>+landbouw!H8</f>
        <v>0</v>
      </c>
      <c r="J22" s="727">
        <f>+landbouw!I8</f>
        <v>0</v>
      </c>
      <c r="K22" s="727">
        <f>+landbouw!J8</f>
        <v>315.6991545705435</v>
      </c>
      <c r="L22" s="727">
        <f>+landbouw!K8</f>
        <v>0</v>
      </c>
      <c r="M22" s="727">
        <f>+landbouw!L8</f>
        <v>0</v>
      </c>
      <c r="N22" s="727">
        <f>+landbouw!M8</f>
        <v>0</v>
      </c>
      <c r="O22" s="727">
        <f>+landbouw!N8</f>
        <v>0</v>
      </c>
      <c r="P22" s="727">
        <f>+landbouw!O8</f>
        <v>0</v>
      </c>
      <c r="Q22" s="728">
        <f>+landbouw!P8</f>
        <v>0</v>
      </c>
      <c r="R22" s="729">
        <f>SUM(C22:Q22)</f>
        <v>13312.692985111047</v>
      </c>
      <c r="S22" s="67"/>
    </row>
    <row r="23" spans="1:19" s="474" customFormat="1" ht="17.25" thickTop="1" thickBot="1">
      <c r="A23" s="734" t="s">
        <v>116</v>
      </c>
      <c r="B23" s="864"/>
      <c r="C23" s="735">
        <f ca="1">C20+C15+C22</f>
        <v>63741.451829316597</v>
      </c>
      <c r="D23" s="735">
        <f t="shared" ref="D23:Q23" ca="1" si="2">D20+D15+D22</f>
        <v>9552.8571428571431</v>
      </c>
      <c r="E23" s="735">
        <f t="shared" ca="1" si="2"/>
        <v>75731.008165777006</v>
      </c>
      <c r="F23" s="735">
        <f t="shared" si="2"/>
        <v>8136.5677496537719</v>
      </c>
      <c r="G23" s="735">
        <f t="shared" ca="1" si="2"/>
        <v>26912.658094978699</v>
      </c>
      <c r="H23" s="735">
        <f t="shared" si="2"/>
        <v>29241.299846890601</v>
      </c>
      <c r="I23" s="735">
        <f t="shared" si="2"/>
        <v>7729.3864171152709</v>
      </c>
      <c r="J23" s="735">
        <f t="shared" si="2"/>
        <v>0</v>
      </c>
      <c r="K23" s="735">
        <f t="shared" si="2"/>
        <v>1735.8244824509291</v>
      </c>
      <c r="L23" s="735">
        <f t="shared" si="2"/>
        <v>0</v>
      </c>
      <c r="M23" s="735">
        <f t="shared" ca="1" si="2"/>
        <v>0</v>
      </c>
      <c r="N23" s="735">
        <f t="shared" si="2"/>
        <v>1935.9091749007405</v>
      </c>
      <c r="O23" s="735">
        <f t="shared" ca="1" si="2"/>
        <v>22737.535245650746</v>
      </c>
      <c r="P23" s="735">
        <f t="shared" si="2"/>
        <v>332.99</v>
      </c>
      <c r="Q23" s="736">
        <f t="shared" si="2"/>
        <v>648.26666666666665</v>
      </c>
      <c r="R23" s="737">
        <f ca="1">R20+R15+R22</f>
        <v>248435.75481625815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3987.349518906256</v>
      </c>
      <c r="D36" s="718">
        <f ca="1">tertiair!C20</f>
        <v>0</v>
      </c>
      <c r="E36" s="718">
        <f ca="1">tertiair!D20</f>
        <v>2854.5867467387338</v>
      </c>
      <c r="F36" s="718">
        <f>tertiair!E20</f>
        <v>49.607323632888686</v>
      </c>
      <c r="G36" s="718">
        <f ca="1">tertiair!F20</f>
        <v>674.84563895886708</v>
      </c>
      <c r="H36" s="718">
        <f>tertiair!G20</f>
        <v>0</v>
      </c>
      <c r="I36" s="718">
        <f>tertiair!H20</f>
        <v>0</v>
      </c>
      <c r="J36" s="718">
        <f>tertiair!I20</f>
        <v>0</v>
      </c>
      <c r="K36" s="718">
        <f>tertiair!J20</f>
        <v>1.4087921519497676E-2</v>
      </c>
      <c r="L36" s="718">
        <f>tertiair!K20</f>
        <v>0</v>
      </c>
      <c r="M36" s="718">
        <f ca="1">tertiair!L20</f>
        <v>0</v>
      </c>
      <c r="N36" s="718">
        <f>tertiair!M20</f>
        <v>0</v>
      </c>
      <c r="O36" s="718">
        <f ca="1">tertiair!N20</f>
        <v>0</v>
      </c>
      <c r="P36" s="718">
        <f>tertiair!O20</f>
        <v>0</v>
      </c>
      <c r="Q36" s="828">
        <f>tertiair!P20</f>
        <v>0</v>
      </c>
      <c r="R36" s="917">
        <f ca="1">SUM(C36:Q36)</f>
        <v>7566.4033161582656</v>
      </c>
    </row>
    <row r="37" spans="1:18">
      <c r="A37" s="885" t="s">
        <v>225</v>
      </c>
      <c r="B37" s="892"/>
      <c r="C37" s="718">
        <f ca="1">huishoudens!B12</f>
        <v>3260.1373273028639</v>
      </c>
      <c r="D37" s="718">
        <f ca="1">huishoudens!C12</f>
        <v>0</v>
      </c>
      <c r="E37" s="718">
        <f>huishoudens!D12</f>
        <v>8340.4822268778735</v>
      </c>
      <c r="F37" s="718">
        <f>huishoudens!E12</f>
        <v>1406.1720908381121</v>
      </c>
      <c r="G37" s="718">
        <f>huishoudens!F12</f>
        <v>2678.4668566455462</v>
      </c>
      <c r="H37" s="718">
        <f>huishoudens!G12</f>
        <v>0</v>
      </c>
      <c r="I37" s="718">
        <f>huishoudens!H12</f>
        <v>0</v>
      </c>
      <c r="J37" s="718">
        <f>huishoudens!I12</f>
        <v>0</v>
      </c>
      <c r="K37" s="718">
        <f>huishoudens!J12</f>
        <v>480.5629962406345</v>
      </c>
      <c r="L37" s="718">
        <f>huishoudens!K12</f>
        <v>0</v>
      </c>
      <c r="M37" s="718">
        <f>huishoudens!L12</f>
        <v>0</v>
      </c>
      <c r="N37" s="718">
        <f>huishoudens!M12</f>
        <v>0</v>
      </c>
      <c r="O37" s="718">
        <f>huishoudens!N12</f>
        <v>0</v>
      </c>
      <c r="P37" s="718">
        <f>huishoudens!O12</f>
        <v>0</v>
      </c>
      <c r="Q37" s="828">
        <f>huishoudens!P12</f>
        <v>0</v>
      </c>
      <c r="R37" s="917">
        <f ca="1">SUM(C37:Q37)</f>
        <v>16165.82149790503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3924.6962782764131</v>
      </c>
      <c r="D39" s="718">
        <f ca="1">industrie!C22</f>
        <v>0</v>
      </c>
      <c r="E39" s="718">
        <f>industrie!D22</f>
        <v>3749.9686700929301</v>
      </c>
      <c r="F39" s="718">
        <f>industrie!E22</f>
        <v>356.45584686560682</v>
      </c>
      <c r="G39" s="718">
        <f>industrie!F22</f>
        <v>1408.5810768289239</v>
      </c>
      <c r="H39" s="718">
        <f>industrie!G22</f>
        <v>0</v>
      </c>
      <c r="I39" s="718">
        <f>industrie!H22</f>
        <v>0</v>
      </c>
      <c r="J39" s="718">
        <f>industrie!I22</f>
        <v>0</v>
      </c>
      <c r="K39" s="718">
        <f>industrie!J22</f>
        <v>22.147281907502464</v>
      </c>
      <c r="L39" s="718">
        <f>industrie!K22</f>
        <v>0</v>
      </c>
      <c r="M39" s="718">
        <f>industrie!L22</f>
        <v>0</v>
      </c>
      <c r="N39" s="718">
        <f>industrie!M22</f>
        <v>0</v>
      </c>
      <c r="O39" s="718">
        <f>industrie!N22</f>
        <v>0</v>
      </c>
      <c r="P39" s="718">
        <f>industrie!O22</f>
        <v>0</v>
      </c>
      <c r="Q39" s="828">
        <f>industrie!P22</f>
        <v>0</v>
      </c>
      <c r="R39" s="918">
        <f ca="1">SUM(C39:Q39)</f>
        <v>9461.8491539713759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11172.183124485533</v>
      </c>
      <c r="D41" s="763">
        <f t="shared" ref="D41:R41" ca="1" si="4">SUM(D35:D40)</f>
        <v>0</v>
      </c>
      <c r="E41" s="763">
        <f t="shared" ca="1" si="4"/>
        <v>14945.037643709538</v>
      </c>
      <c r="F41" s="763">
        <f t="shared" si="4"/>
        <v>1812.2352613366077</v>
      </c>
      <c r="G41" s="763">
        <f t="shared" ca="1" si="4"/>
        <v>4761.8935724333369</v>
      </c>
      <c r="H41" s="763">
        <f t="shared" si="4"/>
        <v>0</v>
      </c>
      <c r="I41" s="763">
        <f t="shared" si="4"/>
        <v>0</v>
      </c>
      <c r="J41" s="763">
        <f t="shared" si="4"/>
        <v>0</v>
      </c>
      <c r="K41" s="763">
        <f t="shared" si="4"/>
        <v>502.72436606965647</v>
      </c>
      <c r="L41" s="763">
        <f t="shared" si="4"/>
        <v>0</v>
      </c>
      <c r="M41" s="763">
        <f t="shared" ca="1" si="4"/>
        <v>0</v>
      </c>
      <c r="N41" s="763">
        <f t="shared" si="4"/>
        <v>0</v>
      </c>
      <c r="O41" s="763">
        <f t="shared" ca="1" si="4"/>
        <v>0</v>
      </c>
      <c r="P41" s="763">
        <f t="shared" si="4"/>
        <v>0</v>
      </c>
      <c r="Q41" s="764">
        <f t="shared" si="4"/>
        <v>0</v>
      </c>
      <c r="R41" s="765">
        <f t="shared" ca="1" si="4"/>
        <v>33194.073968034674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314.64963238195378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314.64963238195378</v>
      </c>
    </row>
    <row r="45" spans="1:18" ht="15" thickBot="1">
      <c r="A45" s="888" t="s">
        <v>307</v>
      </c>
      <c r="B45" s="898"/>
      <c r="C45" s="727">
        <f ca="1">transport!B18</f>
        <v>2.6310750705185488</v>
      </c>
      <c r="D45" s="727">
        <f>transport!C18</f>
        <v>0</v>
      </c>
      <c r="E45" s="727">
        <f>transport!D18</f>
        <v>14.06738370444493</v>
      </c>
      <c r="F45" s="727">
        <f>transport!E18</f>
        <v>20.226435644099389</v>
      </c>
      <c r="G45" s="727">
        <f>transport!F18</f>
        <v>0</v>
      </c>
      <c r="H45" s="727">
        <f>transport!G18</f>
        <v>7492.7774267378372</v>
      </c>
      <c r="I45" s="727">
        <f>transport!H18</f>
        <v>1924.6172178617026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9454.3195390186029</v>
      </c>
    </row>
    <row r="46" spans="1:18" ht="15.75" thickBot="1">
      <c r="A46" s="886" t="s">
        <v>230</v>
      </c>
      <c r="B46" s="899"/>
      <c r="C46" s="763">
        <f t="shared" ref="C46:R46" ca="1" si="5">SUM(C43:C45)</f>
        <v>2.6310750705185488</v>
      </c>
      <c r="D46" s="763">
        <f t="shared" ca="1" si="5"/>
        <v>0</v>
      </c>
      <c r="E46" s="763">
        <f t="shared" si="5"/>
        <v>14.06738370444493</v>
      </c>
      <c r="F46" s="763">
        <f t="shared" si="5"/>
        <v>20.226435644099389</v>
      </c>
      <c r="G46" s="763">
        <f t="shared" si="5"/>
        <v>0</v>
      </c>
      <c r="H46" s="763">
        <f t="shared" si="5"/>
        <v>7807.427059119791</v>
      </c>
      <c r="I46" s="763">
        <f t="shared" si="5"/>
        <v>1924.6172178617026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9768.9691714005567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395.5434868297948</v>
      </c>
      <c r="D48" s="718">
        <f ca="1">+landbouw!C12</f>
        <v>0</v>
      </c>
      <c r="E48" s="718">
        <f>+landbouw!D12</f>
        <v>338.55862207297548</v>
      </c>
      <c r="F48" s="718">
        <f>+landbouw!E12</f>
        <v>14.539182190699309</v>
      </c>
      <c r="G48" s="718">
        <f>+landbouw!F12</f>
        <v>2423.7861389259751</v>
      </c>
      <c r="H48" s="718">
        <f>+landbouw!G12</f>
        <v>0</v>
      </c>
      <c r="I48" s="718">
        <f>+landbouw!H12</f>
        <v>0</v>
      </c>
      <c r="J48" s="718">
        <f>+landbouw!I12</f>
        <v>0</v>
      </c>
      <c r="K48" s="718">
        <f>+landbouw!J12</f>
        <v>111.75750071797239</v>
      </c>
      <c r="L48" s="718">
        <f>+landbouw!K12</f>
        <v>0</v>
      </c>
      <c r="M48" s="718">
        <f>+landbouw!L12</f>
        <v>0</v>
      </c>
      <c r="N48" s="718">
        <f>+landbouw!M12</f>
        <v>0</v>
      </c>
      <c r="O48" s="718">
        <f>+landbouw!N12</f>
        <v>0</v>
      </c>
      <c r="P48" s="718">
        <f>+landbouw!O12</f>
        <v>0</v>
      </c>
      <c r="Q48" s="719">
        <f>+landbouw!P12</f>
        <v>0</v>
      </c>
      <c r="R48" s="761">
        <f ca="1">SUM(C48:Q48)</f>
        <v>3284.1849307374173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11570.357686385845</v>
      </c>
      <c r="D53" s="773">
        <f t="shared" ref="D53:Q53" ca="1" si="6">D41+D46+D48</f>
        <v>0</v>
      </c>
      <c r="E53" s="773">
        <f t="shared" ca="1" si="6"/>
        <v>15297.663649486958</v>
      </c>
      <c r="F53" s="773">
        <f t="shared" si="6"/>
        <v>1847.0008791714065</v>
      </c>
      <c r="G53" s="773">
        <f t="shared" ca="1" si="6"/>
        <v>7185.679711359312</v>
      </c>
      <c r="H53" s="773">
        <f t="shared" si="6"/>
        <v>7807.427059119791</v>
      </c>
      <c r="I53" s="773">
        <f t="shared" si="6"/>
        <v>1924.6172178617026</v>
      </c>
      <c r="J53" s="773">
        <f t="shared" si="6"/>
        <v>0</v>
      </c>
      <c r="K53" s="773">
        <f t="shared" si="6"/>
        <v>614.48186678762886</v>
      </c>
      <c r="L53" s="773">
        <f t="shared" si="6"/>
        <v>0</v>
      </c>
      <c r="M53" s="773">
        <f t="shared" ca="1" si="6"/>
        <v>0</v>
      </c>
      <c r="N53" s="773">
        <f t="shared" si="6"/>
        <v>0</v>
      </c>
      <c r="O53" s="773">
        <f t="shared" ca="1" si="6"/>
        <v>0</v>
      </c>
      <c r="P53" s="773">
        <f>P41+P46+P48</f>
        <v>0</v>
      </c>
      <c r="Q53" s="774">
        <f t="shared" si="6"/>
        <v>0</v>
      </c>
      <c r="R53" s="775">
        <f ca="1">R41+R46+R48</f>
        <v>46247.228070172649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0.18152014669148611</v>
      </c>
      <c r="D55" s="836">
        <f t="shared" ca="1" si="7"/>
        <v>0</v>
      </c>
      <c r="E55" s="836">
        <f t="shared" ca="1" si="7"/>
        <v>0.20200000000000004</v>
      </c>
      <c r="F55" s="836">
        <f t="shared" si="7"/>
        <v>0.22700000000000004</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4699.8921624123132</v>
      </c>
      <c r="C66" s="795">
        <f>'lokale energieproductie'!B6</f>
        <v>4699.8921624123132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6687</v>
      </c>
      <c r="C67" s="794">
        <f>B67*IFERROR(SUM(J67:L67)/SUM(D67:M67),0)</f>
        <v>6687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7867.0588235294117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11386.892162412314</v>
      </c>
      <c r="C69" s="803">
        <f>SUM(C64:C68)</f>
        <v>11386.892162412314</v>
      </c>
      <c r="D69" s="804">
        <f t="shared" ref="D69:M69" si="8">SUM(D67:D68)</f>
        <v>0</v>
      </c>
      <c r="E69" s="804">
        <f t="shared" si="8"/>
        <v>0</v>
      </c>
      <c r="F69" s="804">
        <f t="shared" si="8"/>
        <v>0</v>
      </c>
      <c r="G69" s="804">
        <f t="shared" si="8"/>
        <v>0</v>
      </c>
      <c r="H69" s="804">
        <f t="shared" si="8"/>
        <v>0</v>
      </c>
      <c r="I69" s="804">
        <f t="shared" si="8"/>
        <v>0</v>
      </c>
      <c r="J69" s="804">
        <f t="shared" si="8"/>
        <v>0</v>
      </c>
      <c r="K69" s="804">
        <f t="shared" si="8"/>
        <v>7867.0588235294117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9552.8571428571431</v>
      </c>
      <c r="C78" s="817">
        <f>B78*IFERROR(SUM(I78:L78)/SUM(D78:M78),0)</f>
        <v>9552.8571428571431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11238.655462184875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9552.8571428571431</v>
      </c>
      <c r="C81" s="803">
        <f>SUM(C78:C80)</f>
        <v>9552.8571428571431</v>
      </c>
      <c r="D81" s="803">
        <f t="shared" ref="D81:P81" si="9">SUM(D78:D80)</f>
        <v>0</v>
      </c>
      <c r="E81" s="803">
        <f t="shared" si="9"/>
        <v>0</v>
      </c>
      <c r="F81" s="803">
        <f t="shared" si="9"/>
        <v>0</v>
      </c>
      <c r="G81" s="803">
        <f t="shared" si="9"/>
        <v>0</v>
      </c>
      <c r="H81" s="803">
        <f t="shared" si="9"/>
        <v>0</v>
      </c>
      <c r="I81" s="803">
        <f t="shared" si="9"/>
        <v>0</v>
      </c>
      <c r="J81" s="803">
        <f t="shared" si="9"/>
        <v>0</v>
      </c>
      <c r="K81" s="803">
        <f t="shared" si="9"/>
        <v>11238.655462184875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17960.195530493002</v>
      </c>
      <c r="C4" s="478">
        <f>huishoudens!C8</f>
        <v>0</v>
      </c>
      <c r="D4" s="478">
        <f>huishoudens!D8</f>
        <v>41289.515974642934</v>
      </c>
      <c r="E4" s="478">
        <f>huishoudens!E8</f>
        <v>6194.5907085379386</v>
      </c>
      <c r="F4" s="478">
        <f>huishoudens!F8</f>
        <v>10031.711073578825</v>
      </c>
      <c r="G4" s="478">
        <f>huishoudens!G8</f>
        <v>0</v>
      </c>
      <c r="H4" s="478">
        <f>huishoudens!H8</f>
        <v>0</v>
      </c>
      <c r="I4" s="478">
        <f>huishoudens!I8</f>
        <v>0</v>
      </c>
      <c r="J4" s="478">
        <f>huishoudens!J8</f>
        <v>1357.5225882503801</v>
      </c>
      <c r="K4" s="478">
        <f>huishoudens!K8</f>
        <v>0</v>
      </c>
      <c r="L4" s="478">
        <f>huishoudens!L8</f>
        <v>0</v>
      </c>
      <c r="M4" s="478">
        <f>huishoudens!M8</f>
        <v>0</v>
      </c>
      <c r="N4" s="478">
        <f>huishoudens!N8</f>
        <v>17972.732670716894</v>
      </c>
      <c r="O4" s="478">
        <f>huishoudens!O8</f>
        <v>326.73666666666668</v>
      </c>
      <c r="P4" s="479">
        <f>huishoudens!P8</f>
        <v>610.13333333333333</v>
      </c>
      <c r="Q4" s="480">
        <f>SUM(B4:P4)</f>
        <v>95743.138546219983</v>
      </c>
    </row>
    <row r="5" spans="1:17">
      <c r="A5" s="477" t="s">
        <v>156</v>
      </c>
      <c r="B5" s="478">
        <f ca="1">tertiair!B16</f>
        <v>20981.440575903791</v>
      </c>
      <c r="C5" s="478">
        <f ca="1">tertiair!C16</f>
        <v>9552.8571428571431</v>
      </c>
      <c r="D5" s="478">
        <f ca="1">tertiair!D16</f>
        <v>14131.617558112543</v>
      </c>
      <c r="E5" s="478">
        <f>tertiair!E16</f>
        <v>218.53446534312195</v>
      </c>
      <c r="F5" s="478">
        <f ca="1">tertiair!F16</f>
        <v>2527.5117564002512</v>
      </c>
      <c r="G5" s="478">
        <f>tertiair!G16</f>
        <v>0</v>
      </c>
      <c r="H5" s="478">
        <f>tertiair!H16</f>
        <v>0</v>
      </c>
      <c r="I5" s="478">
        <f>tertiair!I16</f>
        <v>0</v>
      </c>
      <c r="J5" s="478">
        <f>tertiair!J16</f>
        <v>3.9796388473157279E-2</v>
      </c>
      <c r="K5" s="478">
        <f>tertiair!K16</f>
        <v>0</v>
      </c>
      <c r="L5" s="478">
        <f ca="1">tertiair!L16</f>
        <v>0</v>
      </c>
      <c r="M5" s="478">
        <f>tertiair!M16</f>
        <v>0</v>
      </c>
      <c r="N5" s="478">
        <f ca="1">tertiair!N16</f>
        <v>0</v>
      </c>
      <c r="O5" s="478">
        <f>tertiair!O16</f>
        <v>6.2533333333333339</v>
      </c>
      <c r="P5" s="479">
        <f>tertiair!P16</f>
        <v>38.133333333333333</v>
      </c>
      <c r="Q5" s="477">
        <f t="shared" ref="Q5:Q13" ca="1" si="0">SUM(B5:P5)</f>
        <v>47456.387961671993</v>
      </c>
    </row>
    <row r="6" spans="1:17">
      <c r="A6" s="477" t="s">
        <v>194</v>
      </c>
      <c r="B6" s="478">
        <f>'openbare verlichting'!B8</f>
        <v>984.98900000000003</v>
      </c>
      <c r="C6" s="478"/>
      <c r="D6" s="478"/>
      <c r="E6" s="478"/>
      <c r="F6" s="478"/>
      <c r="G6" s="478"/>
      <c r="H6" s="478"/>
      <c r="I6" s="478"/>
      <c r="J6" s="478"/>
      <c r="K6" s="478"/>
      <c r="L6" s="478"/>
      <c r="M6" s="478"/>
      <c r="N6" s="478"/>
      <c r="O6" s="478"/>
      <c r="P6" s="479"/>
      <c r="Q6" s="477">
        <f t="shared" si="0"/>
        <v>984.98900000000003</v>
      </c>
    </row>
    <row r="7" spans="1:17">
      <c r="A7" s="477" t="s">
        <v>112</v>
      </c>
      <c r="B7" s="478">
        <f>landbouw!B8</f>
        <v>2179.0610796611204</v>
      </c>
      <c r="C7" s="478">
        <f>landbouw!C8</f>
        <v>0</v>
      </c>
      <c r="D7" s="478">
        <f>landbouw!D8</f>
        <v>1676.0327825394825</v>
      </c>
      <c r="E7" s="478">
        <f>landbouw!E8</f>
        <v>64.049260751979332</v>
      </c>
      <c r="F7" s="478">
        <f>landbouw!F8</f>
        <v>9077.8507075879206</v>
      </c>
      <c r="G7" s="478">
        <f>landbouw!G8</f>
        <v>0</v>
      </c>
      <c r="H7" s="478">
        <f>landbouw!H8</f>
        <v>0</v>
      </c>
      <c r="I7" s="478">
        <f>landbouw!I8</f>
        <v>0</v>
      </c>
      <c r="J7" s="478">
        <f>landbouw!J8</f>
        <v>315.6991545705435</v>
      </c>
      <c r="K7" s="478">
        <f>landbouw!K8</f>
        <v>0</v>
      </c>
      <c r="L7" s="478">
        <f>landbouw!L8</f>
        <v>0</v>
      </c>
      <c r="M7" s="478">
        <f>landbouw!M8</f>
        <v>0</v>
      </c>
      <c r="N7" s="478">
        <f>landbouw!N8</f>
        <v>0</v>
      </c>
      <c r="O7" s="478">
        <f>landbouw!O8</f>
        <v>0</v>
      </c>
      <c r="P7" s="479">
        <f>landbouw!P8</f>
        <v>0</v>
      </c>
      <c r="Q7" s="477">
        <f t="shared" si="0"/>
        <v>13312.692985111047</v>
      </c>
    </row>
    <row r="8" spans="1:17">
      <c r="A8" s="477" t="s">
        <v>635</v>
      </c>
      <c r="B8" s="478">
        <f>industrie!B18</f>
        <v>21621.270970802343</v>
      </c>
      <c r="C8" s="478">
        <f>industrie!C18</f>
        <v>0</v>
      </c>
      <c r="D8" s="478">
        <f>industrie!D18</f>
        <v>18564.201337093713</v>
      </c>
      <c r="E8" s="478">
        <f>industrie!E18</f>
        <v>1570.2900742978272</v>
      </c>
      <c r="F8" s="478">
        <f>industrie!F18</f>
        <v>5275.5845574116993</v>
      </c>
      <c r="G8" s="478">
        <f>industrie!G18</f>
        <v>0</v>
      </c>
      <c r="H8" s="478">
        <f>industrie!H18</f>
        <v>0</v>
      </c>
      <c r="I8" s="478">
        <f>industrie!I18</f>
        <v>0</v>
      </c>
      <c r="J8" s="478">
        <f>industrie!J18</f>
        <v>62.562943241532388</v>
      </c>
      <c r="K8" s="478">
        <f>industrie!K18</f>
        <v>0</v>
      </c>
      <c r="L8" s="478">
        <f>industrie!L18</f>
        <v>0</v>
      </c>
      <c r="M8" s="478">
        <f>industrie!M18</f>
        <v>0</v>
      </c>
      <c r="N8" s="478">
        <f>industrie!N18</f>
        <v>4764.802574933854</v>
      </c>
      <c r="O8" s="478">
        <f>industrie!O18</f>
        <v>0</v>
      </c>
      <c r="P8" s="479">
        <f>industrie!P18</f>
        <v>0</v>
      </c>
      <c r="Q8" s="477">
        <f t="shared" si="0"/>
        <v>51858.712457780959</v>
      </c>
    </row>
    <row r="9" spans="1:17" s="483" customFormat="1">
      <c r="A9" s="481" t="s">
        <v>561</v>
      </c>
      <c r="B9" s="482">
        <f>transport!B14</f>
        <v>14.494672456332662</v>
      </c>
      <c r="C9" s="482">
        <f>transport!C14</f>
        <v>0</v>
      </c>
      <c r="D9" s="482">
        <f>transport!D14</f>
        <v>69.640513388341233</v>
      </c>
      <c r="E9" s="482">
        <f>transport!E14</f>
        <v>89.1032407229048</v>
      </c>
      <c r="F9" s="482">
        <f>transport!F14</f>
        <v>0</v>
      </c>
      <c r="G9" s="482">
        <f>transport!G14</f>
        <v>28062.836804261562</v>
      </c>
      <c r="H9" s="482">
        <f>transport!H14</f>
        <v>7729.3864171152709</v>
      </c>
      <c r="I9" s="482">
        <f>transport!I14</f>
        <v>0</v>
      </c>
      <c r="J9" s="482">
        <f>transport!J14</f>
        <v>0</v>
      </c>
      <c r="K9" s="482">
        <f>transport!K14</f>
        <v>0</v>
      </c>
      <c r="L9" s="482">
        <f>transport!L14</f>
        <v>0</v>
      </c>
      <c r="M9" s="482">
        <f>transport!M14</f>
        <v>1868.9776764945291</v>
      </c>
      <c r="N9" s="482">
        <f>transport!N14</f>
        <v>0</v>
      </c>
      <c r="O9" s="482">
        <f>transport!O14</f>
        <v>0</v>
      </c>
      <c r="P9" s="482">
        <f>transport!P14</f>
        <v>0</v>
      </c>
      <c r="Q9" s="481">
        <f>SUM(B9:P9)</f>
        <v>37834.439324438936</v>
      </c>
    </row>
    <row r="10" spans="1:17">
      <c r="A10" s="477" t="s">
        <v>551</v>
      </c>
      <c r="B10" s="478">
        <f>transport!B54</f>
        <v>0</v>
      </c>
      <c r="C10" s="478">
        <f>transport!C54</f>
        <v>0</v>
      </c>
      <c r="D10" s="478">
        <f>transport!D54</f>
        <v>0</v>
      </c>
      <c r="E10" s="478">
        <f>transport!E54</f>
        <v>0</v>
      </c>
      <c r="F10" s="478">
        <f>transport!F54</f>
        <v>0</v>
      </c>
      <c r="G10" s="478">
        <f>transport!G54</f>
        <v>1178.4630426290403</v>
      </c>
      <c r="H10" s="478">
        <f>transport!H54</f>
        <v>0</v>
      </c>
      <c r="I10" s="478">
        <f>transport!I54</f>
        <v>0</v>
      </c>
      <c r="J10" s="478">
        <f>transport!J54</f>
        <v>0</v>
      </c>
      <c r="K10" s="478">
        <f>transport!K54</f>
        <v>0</v>
      </c>
      <c r="L10" s="478">
        <f>transport!L54</f>
        <v>0</v>
      </c>
      <c r="M10" s="478">
        <f>transport!M54</f>
        <v>66.931498406211418</v>
      </c>
      <c r="N10" s="478">
        <f>transport!N54</f>
        <v>0</v>
      </c>
      <c r="O10" s="478">
        <f>transport!O54</f>
        <v>0</v>
      </c>
      <c r="P10" s="479">
        <f>transport!P54</f>
        <v>0</v>
      </c>
      <c r="Q10" s="477">
        <f t="shared" si="0"/>
        <v>1245.3945410352517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63741.451829316589</v>
      </c>
      <c r="C14" s="488">
        <f t="shared" ref="C14:Q14" ca="1" si="1">SUM(C4:C13)</f>
        <v>9552.8571428571431</v>
      </c>
      <c r="D14" s="488">
        <f t="shared" ca="1" si="1"/>
        <v>75731.008165777006</v>
      </c>
      <c r="E14" s="488">
        <f t="shared" si="1"/>
        <v>8136.5677496537719</v>
      </c>
      <c r="F14" s="488">
        <f t="shared" ca="1" si="1"/>
        <v>26912.658094978695</v>
      </c>
      <c r="G14" s="488">
        <f t="shared" si="1"/>
        <v>29241.299846890601</v>
      </c>
      <c r="H14" s="488">
        <f t="shared" si="1"/>
        <v>7729.3864171152709</v>
      </c>
      <c r="I14" s="488">
        <f t="shared" si="1"/>
        <v>0</v>
      </c>
      <c r="J14" s="488">
        <f t="shared" si="1"/>
        <v>1735.8244824509291</v>
      </c>
      <c r="K14" s="488">
        <f t="shared" si="1"/>
        <v>0</v>
      </c>
      <c r="L14" s="488">
        <f t="shared" ca="1" si="1"/>
        <v>0</v>
      </c>
      <c r="M14" s="488">
        <f t="shared" si="1"/>
        <v>1935.9091749007405</v>
      </c>
      <c r="N14" s="488">
        <f t="shared" ca="1" si="1"/>
        <v>22737.535245650746</v>
      </c>
      <c r="O14" s="488">
        <f t="shared" si="1"/>
        <v>332.99</v>
      </c>
      <c r="P14" s="489">
        <f t="shared" si="1"/>
        <v>648.26666666666665</v>
      </c>
      <c r="Q14" s="489">
        <f t="shared" ca="1" si="1"/>
        <v>248435.75481625818</v>
      </c>
    </row>
    <row r="16" spans="1:17">
      <c r="A16" s="491" t="s">
        <v>556</v>
      </c>
      <c r="B16" s="841">
        <f ca="1">huishoudens!B10</f>
        <v>0.18152014669148617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3260.1373273028639</v>
      </c>
      <c r="C21" s="478">
        <f t="shared" ref="C21:C30" ca="1" si="3">C4*$C$16</f>
        <v>0</v>
      </c>
      <c r="D21" s="478">
        <f t="shared" ref="D21:D30" si="4">D4*$D$16</f>
        <v>8340.4822268778735</v>
      </c>
      <c r="E21" s="478">
        <f t="shared" ref="E21:E30" si="5">E4*$E$16</f>
        <v>1406.1720908381121</v>
      </c>
      <c r="F21" s="478">
        <f t="shared" ref="F21:F30" si="6">F4*$F$16</f>
        <v>2678.4668566455462</v>
      </c>
      <c r="G21" s="478">
        <f t="shared" ref="G21:G30" si="7">G4*$G$16</f>
        <v>0</v>
      </c>
      <c r="H21" s="478">
        <f t="shared" ref="H21:H30" si="8">H4*$H$16</f>
        <v>0</v>
      </c>
      <c r="I21" s="478">
        <f t="shared" ref="I21:I30" si="9">I4*$I$16</f>
        <v>0</v>
      </c>
      <c r="J21" s="478">
        <f t="shared" ref="J21:J30" si="10">J4*$J$16</f>
        <v>480.5629962406345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16165.82149790503</v>
      </c>
    </row>
    <row r="22" spans="1:17">
      <c r="A22" s="477" t="s">
        <v>156</v>
      </c>
      <c r="B22" s="478">
        <f t="shared" ca="1" si="2"/>
        <v>3808.5541711367559</v>
      </c>
      <c r="C22" s="478">
        <f t="shared" ca="1" si="3"/>
        <v>0</v>
      </c>
      <c r="D22" s="478">
        <f t="shared" ca="1" si="4"/>
        <v>2854.5867467387338</v>
      </c>
      <c r="E22" s="478">
        <f t="shared" si="5"/>
        <v>49.607323632888686</v>
      </c>
      <c r="F22" s="478">
        <f t="shared" ca="1" si="6"/>
        <v>674.84563895886708</v>
      </c>
      <c r="G22" s="478">
        <f t="shared" si="7"/>
        <v>0</v>
      </c>
      <c r="H22" s="478">
        <f t="shared" si="8"/>
        <v>0</v>
      </c>
      <c r="I22" s="478">
        <f t="shared" si="9"/>
        <v>0</v>
      </c>
      <c r="J22" s="478">
        <f t="shared" si="10"/>
        <v>1.4087921519497676E-2</v>
      </c>
      <c r="K22" s="478">
        <f t="shared" si="11"/>
        <v>0</v>
      </c>
      <c r="L22" s="478">
        <f t="shared" ca="1" si="12"/>
        <v>0</v>
      </c>
      <c r="M22" s="478">
        <f t="shared" si="13"/>
        <v>0</v>
      </c>
      <c r="N22" s="478">
        <f t="shared" ca="1" si="14"/>
        <v>0</v>
      </c>
      <c r="O22" s="478">
        <f t="shared" si="15"/>
        <v>0</v>
      </c>
      <c r="P22" s="479">
        <f t="shared" si="16"/>
        <v>0</v>
      </c>
      <c r="Q22" s="477">
        <f t="shared" ref="Q22:Q30" ca="1" si="17">SUM(B22:P22)</f>
        <v>7387.6079683887647</v>
      </c>
    </row>
    <row r="23" spans="1:17">
      <c r="A23" s="477" t="s">
        <v>194</v>
      </c>
      <c r="B23" s="478">
        <f t="shared" ca="1" si="2"/>
        <v>178.79534776950027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178.79534776950027</v>
      </c>
    </row>
    <row r="24" spans="1:17">
      <c r="A24" s="477" t="s">
        <v>112</v>
      </c>
      <c r="B24" s="478">
        <f t="shared" ca="1" si="2"/>
        <v>395.5434868297948</v>
      </c>
      <c r="C24" s="478">
        <f t="shared" ca="1" si="3"/>
        <v>0</v>
      </c>
      <c r="D24" s="478">
        <f t="shared" si="4"/>
        <v>338.55862207297548</v>
      </c>
      <c r="E24" s="478">
        <f t="shared" si="5"/>
        <v>14.539182190699309</v>
      </c>
      <c r="F24" s="478">
        <f t="shared" si="6"/>
        <v>2423.7861389259751</v>
      </c>
      <c r="G24" s="478">
        <f t="shared" si="7"/>
        <v>0</v>
      </c>
      <c r="H24" s="478">
        <f t="shared" si="8"/>
        <v>0</v>
      </c>
      <c r="I24" s="478">
        <f t="shared" si="9"/>
        <v>0</v>
      </c>
      <c r="J24" s="478">
        <f t="shared" si="10"/>
        <v>111.75750071797239</v>
      </c>
      <c r="K24" s="478">
        <f t="shared" si="11"/>
        <v>0</v>
      </c>
      <c r="L24" s="478">
        <f t="shared" si="12"/>
        <v>0</v>
      </c>
      <c r="M24" s="478">
        <f t="shared" si="13"/>
        <v>0</v>
      </c>
      <c r="N24" s="478">
        <f t="shared" si="14"/>
        <v>0</v>
      </c>
      <c r="O24" s="478">
        <f t="shared" si="15"/>
        <v>0</v>
      </c>
      <c r="P24" s="479">
        <f t="shared" si="16"/>
        <v>0</v>
      </c>
      <c r="Q24" s="477">
        <f t="shared" ca="1" si="17"/>
        <v>3284.1849307374173</v>
      </c>
    </row>
    <row r="25" spans="1:17">
      <c r="A25" s="477" t="s">
        <v>635</v>
      </c>
      <c r="B25" s="478">
        <f t="shared" ca="1" si="2"/>
        <v>3924.6962782764131</v>
      </c>
      <c r="C25" s="478">
        <f t="shared" ca="1" si="3"/>
        <v>0</v>
      </c>
      <c r="D25" s="478">
        <f t="shared" si="4"/>
        <v>3749.9686700929301</v>
      </c>
      <c r="E25" s="478">
        <f t="shared" si="5"/>
        <v>356.45584686560682</v>
      </c>
      <c r="F25" s="478">
        <f t="shared" si="6"/>
        <v>1408.5810768289239</v>
      </c>
      <c r="G25" s="478">
        <f t="shared" si="7"/>
        <v>0</v>
      </c>
      <c r="H25" s="478">
        <f t="shared" si="8"/>
        <v>0</v>
      </c>
      <c r="I25" s="478">
        <f t="shared" si="9"/>
        <v>0</v>
      </c>
      <c r="J25" s="478">
        <f t="shared" si="10"/>
        <v>22.147281907502464</v>
      </c>
      <c r="K25" s="478">
        <f t="shared" si="11"/>
        <v>0</v>
      </c>
      <c r="L25" s="478">
        <f t="shared" si="12"/>
        <v>0</v>
      </c>
      <c r="M25" s="478">
        <f t="shared" si="13"/>
        <v>0</v>
      </c>
      <c r="N25" s="478">
        <f t="shared" si="14"/>
        <v>0</v>
      </c>
      <c r="O25" s="478">
        <f t="shared" si="15"/>
        <v>0</v>
      </c>
      <c r="P25" s="479">
        <f t="shared" si="16"/>
        <v>0</v>
      </c>
      <c r="Q25" s="477">
        <f t="shared" ca="1" si="17"/>
        <v>9461.8491539713759</v>
      </c>
    </row>
    <row r="26" spans="1:17" s="483" customFormat="1">
      <c r="A26" s="481" t="s">
        <v>561</v>
      </c>
      <c r="B26" s="835">
        <f t="shared" ca="1" si="2"/>
        <v>2.6310750705185488</v>
      </c>
      <c r="C26" s="482">
        <f t="shared" ca="1" si="3"/>
        <v>0</v>
      </c>
      <c r="D26" s="482">
        <f t="shared" si="4"/>
        <v>14.06738370444493</v>
      </c>
      <c r="E26" s="482">
        <f t="shared" si="5"/>
        <v>20.226435644099389</v>
      </c>
      <c r="F26" s="482">
        <f t="shared" si="6"/>
        <v>0</v>
      </c>
      <c r="G26" s="482">
        <f t="shared" si="7"/>
        <v>7492.7774267378372</v>
      </c>
      <c r="H26" s="482">
        <f t="shared" si="8"/>
        <v>1924.6172178617026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9454.3195390186029</v>
      </c>
    </row>
    <row r="27" spans="1:17">
      <c r="A27" s="477" t="s">
        <v>551</v>
      </c>
      <c r="B27" s="478">
        <f t="shared" ca="1" si="2"/>
        <v>0</v>
      </c>
      <c r="C27" s="478">
        <f t="shared" ca="1" si="3"/>
        <v>0</v>
      </c>
      <c r="D27" s="478">
        <f t="shared" si="4"/>
        <v>0</v>
      </c>
      <c r="E27" s="478">
        <f t="shared" si="5"/>
        <v>0</v>
      </c>
      <c r="F27" s="478">
        <f t="shared" si="6"/>
        <v>0</v>
      </c>
      <c r="G27" s="478">
        <f t="shared" si="7"/>
        <v>314.64963238195378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314.64963238195378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11570.357686385845</v>
      </c>
      <c r="C31" s="488">
        <f t="shared" ca="1" si="18"/>
        <v>0</v>
      </c>
      <c r="D31" s="488">
        <f t="shared" ca="1" si="18"/>
        <v>15297.663649486958</v>
      </c>
      <c r="E31" s="488">
        <f t="shared" si="18"/>
        <v>1847.0008791714065</v>
      </c>
      <c r="F31" s="488">
        <f t="shared" ca="1" si="18"/>
        <v>7185.679711359312</v>
      </c>
      <c r="G31" s="488">
        <f t="shared" si="18"/>
        <v>7807.427059119791</v>
      </c>
      <c r="H31" s="488">
        <f t="shared" si="18"/>
        <v>1924.6172178617026</v>
      </c>
      <c r="I31" s="488">
        <f t="shared" si="18"/>
        <v>0</v>
      </c>
      <c r="J31" s="488">
        <f t="shared" si="18"/>
        <v>614.48186678762886</v>
      </c>
      <c r="K31" s="488">
        <f t="shared" si="18"/>
        <v>0</v>
      </c>
      <c r="L31" s="488">
        <f t="shared" ca="1" si="18"/>
        <v>0</v>
      </c>
      <c r="M31" s="488">
        <f t="shared" si="18"/>
        <v>0</v>
      </c>
      <c r="N31" s="488">
        <f t="shared" ca="1" si="18"/>
        <v>0</v>
      </c>
      <c r="O31" s="488">
        <f t="shared" si="18"/>
        <v>0</v>
      </c>
      <c r="P31" s="489">
        <f t="shared" si="18"/>
        <v>0</v>
      </c>
      <c r="Q31" s="489">
        <f t="shared" ca="1" si="18"/>
        <v>46247.228070172641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0.18152014669148617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0.18152014669148617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0.18152014669148617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2018-09-06T12:48:00Z</dcterms:modified>
</cp:coreProperties>
</file>