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R13" i="14" l="1"/>
  <c r="R15" s="1"/>
  <c r="R23" s="1"/>
  <c r="C27" i="48"/>
  <c r="C2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<sst xmlns="http://schemas.openxmlformats.org/spreadsheetml/2006/main" count="1923" uniqueCount="816">
  <si>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</si>
  <si>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</si>
  <si>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</si>
  <si>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</si>
  <si>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</si>
  <si>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</si>
  <si>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</si>
  <si>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</si>
  <si>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</si>
  <si>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</si>
  <si>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</si>
  <si>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</si>
  <si>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</si>
  <si>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</si>
  <si>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</si>
  <si>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</si>
  <si>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</si>
  <si>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</si>
  <si>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</si>
  <si>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</si>
  <si>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</si>
  <si>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</si>
  <si>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</si>
  <si>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</si>
  <si>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</si>
  <si>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</si>
  <si>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</si>
  <si>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</si>
  <si>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</si>
  <si>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</si>
  <si>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</si>
  <si>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</si>
  <si>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</si>
  <si>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</si>
  <si>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</si>
  <si>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</si>
  <si>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</si>
  <si>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</si>
  <si>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</si>
  <si>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</si>
  <si>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</si>
  <si>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</si>
  <si>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</si>
  <si>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</si>
  <si>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</si>
  <si>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</si>
  <si>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</si>
  <si>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</si>
  <si>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</si>
  <si>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</si>
  <si>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</si>
  <si>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</si>
  <si>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</si>
  <si>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</si>
  <si>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</si>
  <si>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</si>
  <si>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</si>
  <si>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</si>
  <si>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</si>
  <si>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</si>
  <si>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</si>
  <si>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</si>
  <si>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</si>
  <si>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</si>
  <si>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</si>
  <si>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</si>
  <si>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</si>
  <si>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</si>
  <si>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</si>
  <si>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</si>
  <si>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</si>
  <si>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</si>
  <si>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</si>
  <si>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</si>
  <si>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</si>
  <si>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</si>
  <si>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</si>
  <si>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</si>
  <si>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</si>
  <si>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</si>
  <si>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</si>
  <si>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</si>
  <si>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</si>
  <si>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</si>
  <si>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</si>
  <si>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</si>
  <si>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</si>
  <si>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</si>
  <si>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</si>
  <si>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</si>
  <si>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</si>
  <si>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</si>
  <si>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</si>
  <si>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</si>
  <si>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</si>
  <si>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</si>
  <si>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</si>
  <si>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</si>
  <si>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</si>
  <si>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</si>
  <si>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</si>
  <si>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</si>
  <si>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</si>
  <si>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</si>
  <si>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</si>
  <si>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</si>
  <si>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</si>
  <si>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</si>
  <si>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</si>
  <si>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</si>
  <si>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</si>
  <si>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</si>
  <si>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</si>
  <si>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</si>
  <si>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</si>
  <si>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</si>
  <si>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</si>
  <si>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</si>
  <si>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</si>
  <si>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</si>
  <si>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</si>
  <si>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</si>
  <si>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</si>
  <si>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</si>
  <si>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</si>
  <si>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</si>
  <si>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</si>
  <si>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</si>
  <si>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</si>
  <si>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</si>
  <si>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</si>
  <si>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</si>
  <si>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</si>
  <si>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</si>
  <si>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</si>
  <si>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</si>
  <si>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</si>
  <si>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</si>
  <si>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</si>
  <si>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</si>
  <si>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</si>
  <si>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</si>
  <si>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</si>
  <si>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</si>
  <si>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</si>
  <si>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</si>
  <si>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</si>
  <si>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</si>
  <si>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</si>
  <si>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</si>
  <si>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</si>
  <si>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</si>
  <si>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</si>
  <si>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</si>
  <si>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</si>
  <si>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</si>
  <si>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</si>
  <si>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</si>
  <si>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</si>
  <si>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</si>
  <si>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</si>
  <si>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</si>
  <si>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</si>
  <si>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</si>
  <si>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</si>
  <si>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</si>
  <si>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</si>
  <si>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</si>
  <si>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</si>
  <si>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</si>
  <si>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</si>
  <si>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</si>
  <si>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</si>
  <si>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</si>
  <si>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</si>
  <si>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</si>
  <si>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</si>
  <si>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</si>
  <si>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</si>
  <si>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</si>
  <si>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</si>
  <si>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</si>
  <si>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</si>
  <si>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</si>
  <si>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</si>
  <si>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</si>
  <si>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</si>
  <si>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</si>
  <si>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</si>
  <si>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</si>
  <si>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</si>
  <si>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</si>
  <si>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</si>
  <si>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</si>
  <si>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</si>
  <si>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</si>
  <si>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</si>
  <si>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</si>
  <si>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</si>
  <si>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</si>
  <si>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</si>
  <si>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</si>
  <si>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</si>
  <si>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</si>
  <si>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</si>
  <si>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</si>
  <si>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</si>
  <si>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</si>
  <si>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</si>
  <si>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</si>
  <si>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</si>
  <si>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</si>
  <si>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</si>
  <si>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</si>
  <si>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</si>
  <si>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</si>
  <si>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</si>
  <si>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</si>
  <si>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</si>
  <si>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</si>
  <si>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</si>
  <si>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</si>
  <si>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</si>
  <si>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</si>
  <si>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</si>
  <si>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</si>
  <si>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</si>
  <si>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</si>
  <si>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</si>
  <si>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</si>
  <si>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</si>
  <si>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</si>
  <si>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</si>
  <si>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</si>
  <si>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</si>
  <si>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</si>
  <si>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</si>
  <si>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</si>
  <si>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</si>
  <si>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</si>
  <si>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</si>
  <si>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</si>
  <si>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</si>
  <si>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</si>
  <si>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</si>
  <si>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</si>
  <si>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</si>
  <si>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</si>
  <si>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</si>
  <si>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</si>
  <si>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</si>
  <si>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</si>
  <si>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</si>
  <si>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</si>
  <si>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</si>
  <si>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</si>
  <si>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</si>
  <si>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</si>
  <si>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</si>
  <si>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</si>
  <si>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</si>
  <si>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</si>
  <si>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</si>
  <si>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</si>
  <si>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</si>
  <si>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</si>
  <si>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</si>
  <si>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</si>
  <si>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</si>
  <si>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</si>
  <si>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</si>
  <si>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</si>
  <si>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</si>
  <si>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</si>
  <si>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</si>
  <si>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</si>
  <si>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</si>
  <si>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</si>
  <si>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</si>
  <si>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</si>
  <si>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</si>
  <si>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</si>
  <si>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</si>
  <si>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</si>
  <si>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</si>
  <si>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</si>
  <si>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</si>
  <si>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</si>
  <si>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</si>
  <si>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</si>
  <si>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</si>
  <si>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</si>
  <si>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</si>
  <si>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</si>
  <si>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</si>
  <si>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</si>
  <si>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</si>
  <si>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</si>
  <si>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</si>
  <si>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</si>
  <si>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</si>
  <si>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</si>
  <si>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</si>
  <si>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</si>
  <si>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</si>
  <si>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</si>
  <si>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</si>
  <si>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</si>
  <si>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</si>
  <si>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</si>
  <si>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</si>
  <si>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</si>
  <si>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</si>
  <si>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</si>
  <si>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</si>
  <si>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</si>
  <si>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</si>
  <si>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</si>
  <si>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</si>
  <si>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</si>
  <si>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</si>
  <si>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</si>
  <si>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</si>
  <si>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</si>
  <si>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</si>
  <si>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</si>
  <si>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</si>
  <si>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</si>
  <si>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</si>
  <si>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</si>
  <si>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</si>
  <si>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</si>
  <si>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</si>
  <si>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</si>
  <si>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</si>
  <si>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</si>
  <si>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</si>
  <si>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</si>
  <si>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</si>
  <si>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</si>
  <si>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</si>
  <si>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</si>
  <si>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</si>
  <si>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</si>
  <si>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</si>
  <si>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</si>
  <si>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</si>
  <si>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</si>
  <si>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</si>
  <si>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</si>
  <si>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</si>
  <si>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</si>
  <si>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</si>
  <si>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</si>
  <si>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</si>
  <si>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</si>
  <si>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</si>
  <si>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</si>
  <si>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</si>
  <si>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</si>
  <si>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</si>
  <si>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</si>
  <si>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</si>
  <si>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</si>
  <si>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</si>
  <si>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</si>
  <si>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</si>
  <si>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</si>
  <si>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</si>
  <si>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</si>
  <si>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</si>
  <si>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</si>
  <si>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</si>
  <si>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</si>
  <si>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</si>
  <si>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</si>
  <si>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</si>
  <si>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</si>
  <si>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</si>
  <si>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</si>
  <si>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</si>
  <si>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</si>
  <si>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</si>
  <si>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</si>
  <si>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</si>
  <si>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</si>
  <si>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</si>
  <si>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</si>
  <si>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</si>
  <si>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</si>
  <si>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</si>
  <si>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</si>
  <si>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</si>
  <si>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</si>
  <si>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</si>
  <si>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</si>
  <si>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</si>
  <si>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</si>
  <si>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</si>
  <si>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</si>
  <si>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</si>
  <si>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</si>
  <si>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</si>
  <si>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</si>
  <si>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</si>
  <si>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</si>
  <si>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</si>
  <si>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</si>
  <si>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</si>
  <si>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</si>
  <si>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</si>
  <si>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</si>
  <si>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</si>
  <si>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</si>
  <si>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</si>
  <si>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</si>
  <si>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</si>
  <si>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</si>
  <si>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</si>
  <si>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</si>
  <si>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</si>
  <si>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</si>
  <si>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</si>
  <si>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</si>
  <si>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</si>
  <si>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</si>
  <si>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</si>
  <si>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</si>
  <si>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</si>
  <si>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</si>
  <si>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</si>
  <si>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</si>
  <si>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</si>
  <si>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</si>
  <si>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</si>
  <si>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</si>
  <si>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</si>
  <si>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</si>
  <si>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</si>
  <si>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</si>
  <si>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</si>
  <si>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</si>
  <si>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</si>
  <si>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</si>
  <si>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</si>
  <si>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</si>
  <si>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</si>
  <si>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</si>
  <si>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</si>
  <si>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</si>
  <si>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</si>
  <si>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</si>
  <si>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</si>
  <si>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</si>
  <si>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</si>
  <si>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</si>
  <si>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</si>
  <si>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</si>
  <si>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</si>
  <si>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</si>
  <si>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</si>
  <si>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</si>
  <si>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</si>
  <si>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</si>
  <si>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</si>
  <si>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</si>
  <si>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</si>
  <si>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</si>
  <si>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</si>
  <si>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</si>
  <si>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</si>
  <si>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</si>
  <si>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</si>
  <si>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</si>
  <si>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</si>
  <si>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</si>
  <si>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</si>
  <si>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</si>
  <si>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</si>
  <si>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</si>
  <si>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</si>
  <si>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</si>
  <si>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</si>
  <si>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</si>
  <si>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</si>
  <si>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</si>
  <si>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</si>
  <si>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</si>
  <si>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</si>
  <si>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</si>
  <si>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</si>
  <si>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</si>
  <si>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</si>
  <si>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</si>
  <si>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</si>
  <si>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</si>
  <si>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</si>
  <si>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</si>
  <si>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</si>
  <si>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</si>
  <si>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</si>
  <si>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</si>
  <si>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</si>
  <si>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</si>
  <si>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</si>
  <si>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</si>
  <si>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</si>
  <si>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</si>
  <si>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</si>
  <si>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</si>
  <si>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</si>
  <si>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</si>
  <si>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</si>
  <si>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</si>
  <si>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</si>
  <si>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</si>
  <si>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</si>
  <si>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</si>
  <si>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</si>
  <si>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</si>
  <si>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</si>
  <si>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</si>
  <si>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</si>
  <si>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</si>
  <si>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</si>
  <si>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</si>
  <si>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</si>
  <si>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</si>
  <si>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</si>
  <si>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</si>
  <si>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</si>
  <si>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</si>
  <si>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</si>
  <si>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</si>
  <si>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</si>
  <si>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</si>
  <si>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</si>
  <si>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</si>
  <si>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</si>
  <si>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</si>
  <si>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</si>
  <si>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</si>
  <si>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</si>
  <si>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</si>
  <si>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</si>
  <si>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</si>
  <si>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</si>
  <si>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</si>
  <si>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</si>
  <si>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</si>
  <si>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</si>
  <si>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</si>
  <si>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</si>
  <si>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</si>
  <si>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</si>
  <si>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</si>
  <si>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</si>
  <si>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</si>
  <si>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</si>
  <si>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</si>
  <si>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</si>
  <si>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</si>
  <si>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</si>
  <si>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</si>
  <si>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</si>
  <si>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</si>
  <si>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</si>
  <si>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</si>
  <si>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</si>
  <si>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</si>
  <si>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</si>
  <si>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</si>
  <si>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</si>
  <si>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</si>
  <si>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</si>
  <si>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</si>
  <si>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</si>
  <si>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</si>
  <si>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</si>
  <si>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</si>
  <si>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</si>
  <si>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</si>
  <si>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</si>
  <si>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</si>
  <si>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</si>
  <si>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</si>
  <si>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</si>
  <si>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</si>
  <si>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</si>
  <si>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</si>
  <si>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</si>
  <si>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</si>
  <si>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</si>
  <si>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</si>
  <si>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</si>
  <si>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</si>
  <si>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</si>
  <si>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</si>
  <si>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</si>
  <si>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</si>
  <si>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</si>
  <si>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</si>
  <si>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</si>
  <si>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</si>
  <si>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</si>
  <si>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</si>
  <si>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</si>
  <si>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</si>
  <si>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</si>
  <si>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</si>
  <si>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</si>
  <si>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</si>
  <si>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</si>
  <si>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</si>
  <si>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</si>
  <si>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</si>
  <si>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</si>
  <si>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</si>
  <si>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</si>
  <si>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</si>
  <si>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</si>
  <si>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</si>
  <si>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</si>
  <si>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</si>
  <si>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</si>
  <si>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</si>
  <si>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</si>
  <si>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</si>
  <si>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</si>
  <si>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</si>
  <si>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</si>
  <si>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</si>
  <si>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</si>
  <si>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</si>
  <si>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</si>
  <si>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</si>
  <si>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</si>
  <si>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</si>
  <si>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</si>
  <si>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</si>
  <si>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</si>
  <si>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</si>
  <si>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</si>
  <si>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</si>
  <si>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</si>
  <si>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</si>
  <si>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</si>
  <si>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</si>
  <si>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</si>
  <si>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</si>
  <si>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</si>
  <si>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</si>
  <si>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</si>
  <si>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</si>
  <si>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</si>
  <si>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</si>
  <si>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</si>
  <si>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</si>
  <si>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</si>
  <si>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</si>
  <si>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</si>
  <si>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</si>
  <si>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</si>
  <si>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</si>
  <si>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</si>
  <si>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</si>
  <si>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</si>
  <si>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</si>
  <si>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</si>
  <si>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</si>
  <si>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</si>
  <si>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</si>
  <si>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</si>
  <si>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</si>
  <si>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</si>
  <si>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</si>
  <si>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</si>
  <si>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</si>
  <si>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</si>
  <si>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</si>
  <si>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</si>
  <si>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</si>
  <si>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</si>
  <si>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</si>
  <si>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</si>
  <si>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</si>
  <si>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</si>
  <si>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</si>
  <si>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</si>
  <si>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</si>
  <si>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</si>
  <si>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</si>
  <si>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</si>
  <si>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</si>
  <si>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</si>
  <si>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</si>
  <si>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</si>
  <si>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</si>
  <si>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</si>
  <si>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</si>
  <si>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</si>
  <si>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</si>
  <si>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</si>
  <si>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</si>
  <si>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</si>
  <si>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</si>
  <si>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</si>
  <si>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</si>
  <si>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</si>
  <si>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</si>
  <si>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</si>
  <si>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</si>
  <si>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</si>
  <si>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</si>
  <si>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</si>
  <si>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</si>
  <si>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</si>
  <si>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</si>
  <si>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</si>
  <si>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</si>
  <si>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</si>
  <si>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</si>
  <si>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</si>
  <si>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</si>
  <si>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</si>
  <si>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</si>
  <si>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</si>
  <si>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</si>
  <si>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</si>
  <si>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</si>
  <si>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</si>
  <si>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</si>
  <si>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</si>
  <si>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</si>
  <si>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</si>
  <si>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</si>
  <si>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</si>
  <si>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</si>
  <si>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</si>
  <si>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</si>
  <si>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</si>
  <si>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</si>
  <si>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</si>
  <si>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</si>
  <si>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</si>
  <si>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</si>
  <si>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</si>
  <si>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</si>
  <si>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</si>
  <si>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</si>
  <si>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</si>
  <si>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</si>
  <si>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</si>
  <si>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</si>
  <si>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</si>
  <si>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</si>
  <si>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</si>
  <si>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</si>
  <si>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</si>
  <si>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</si>
  <si>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</si>
  <si>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</si>
  <si>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</si>
  <si>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</si>
  <si>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</si>
  <si>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</si>
  <si>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</si>
  <si>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</si>
  <si>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</si>
  <si>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</si>
  <si>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</si>
  <si>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</si>
  <si>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</si>
  <si>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</si>
  <si>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</si>
  <si>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</si>
  <si>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</si>
  <si>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</si>
  <si>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</si>
  <si>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</si>
  <si>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</si>
  <si>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</si>
  <si>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</si>
  <si>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</si>
  <si>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</si>
  <si>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</si>
  <si>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</si>
  <si>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</si>
  <si>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</si>
  <si>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</si>
  <si>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</si>
  <si>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</si>
  <si>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</si>
  <si>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</si>
  <si>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</si>
  <si>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</si>
  <si>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</si>
  <si>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</si>
  <si>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</si>
  <si>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</si>
  <si>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</si>
  <si>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36008</t>
  </si>
  <si>
    <t>IZEGEM</t>
  </si>
  <si>
    <t>Eandis (januari 2018); Infrax (juni 2018)</t>
  </si>
  <si>
    <t>MOW (september 2017)</t>
  </si>
  <si>
    <t>referentietaak LNE (2017); Jaarverslag De Lijn (2016)</t>
  </si>
  <si>
    <t>VEA (april 2018)</t>
  </si>
  <si>
    <t>VEA (januari 2017)</t>
  </si>
  <si>
    <t>VEA (juni 2018)</t>
  </si>
  <si>
    <t>Johan Desmet</t>
  </si>
  <si>
    <t>Veldstraat 1/1 , 8870 Izegem</t>
  </si>
  <si>
    <t>WKK-0574 Johan Desmet</t>
  </si>
  <si>
    <t>interne verbrandingsmotor</t>
  </si>
  <si>
    <t>WKK interne verbrandinsgmotor (gas)</t>
  </si>
  <si>
    <t>Veldstraat 1 , 8870 Izegem</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</si>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</sst>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212000.10150040826</c:v>
                </c:pt>
                <c:pt idx="1">
                  <c:v>79671.66584255312</c:v>
                </c:pt>
                <c:pt idx="2">
                  <c:v>1932.1189999999999</c:v>
                </c:pt>
                <c:pt idx="3">
                  <c:v>20877.892835372211</c:v>
                </c:pt>
                <c:pt idx="4">
                  <c:v>163811.92550625579</c:v>
                </c:pt>
                <c:pt idx="5">
                  <c:v>204697.98174334638</c:v>
                </c:pt>
                <c:pt idx="6">
                  <c:v>670.96213710919369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212000.10150040826</c:v>
                </c:pt>
                <c:pt idx="1">
                  <c:v>79671.66584255312</c:v>
                </c:pt>
                <c:pt idx="2">
                  <c:v>1932.1189999999999</c:v>
                </c:pt>
                <c:pt idx="3">
                  <c:v>20877.892835372211</c:v>
                </c:pt>
                <c:pt idx="4">
                  <c:v>163811.92550625579</c:v>
                </c:pt>
                <c:pt idx="5">
                  <c:v>204697.98174334638</c:v>
                </c:pt>
                <c:pt idx="6">
                  <c:v>670.96213710919369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35324.718412395472</c:v>
                </c:pt>
                <c:pt idx="1">
                  <c:v>15388.437681980116</c:v>
                </c:pt>
                <c:pt idx="2">
                  <c:v>350.72764077575215</c:v>
                </c:pt>
                <c:pt idx="3">
                  <c:v>5201.8753917032318</c:v>
                </c:pt>
                <c:pt idx="4">
                  <c:v>30581.280441121107</c:v>
                </c:pt>
                <c:pt idx="5">
                  <c:v>51233.149597304044</c:v>
                </c:pt>
                <c:pt idx="6">
                  <c:v>169.51896192520891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99392"/>
      </c:barChart>
      <c:catAx>
        <c:axId val="183036160"/>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35324.718412395472</c:v>
                </c:pt>
                <c:pt idx="1">
                  <c:v>15388.437681980116</c:v>
                </c:pt>
                <c:pt idx="2">
                  <c:v>350.72764077575215</c:v>
                </c:pt>
                <c:pt idx="3">
                  <c:v>5201.8753917032318</c:v>
                </c:pt>
                <c:pt idx="4">
                  <c:v>30581.280441121107</c:v>
                </c:pt>
                <c:pt idx="5">
                  <c:v>51233.149597304044</c:v>
                </c:pt>
                <c:pt idx="6">
                  <c:v>169.51896192520891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36008</v>
      </c>
      <c r="B6" s="415"/>
      <c r="C6" s="416"/>
    </row>
    <row r="7" spans="1:7" s="413" customFormat="1" ht="15.75" customHeight="1">
      <c r="A7" s="417" t="str">
        <f>txtMunicipality</f>
        <v>IZEGEM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12038</v>
      </c>
      <c r="C9" s="342">
        <v>12171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886.05</v>
      </c>
    </row>
    <row r="15" spans="1:6">
      <c r="A15" s="348" t="s">
        <v>184</v>
      </c>
      <c r="B15" s="334">
        <v>4</v>
      </c>
    </row>
    <row r="16" spans="1:6">
      <c r="A16" s="348" t="s">
        <v>6</v>
      </c>
      <c r="B16" s="334">
        <v>58</v>
      </c>
    </row>
    <row r="17" spans="1:6">
      <c r="A17" s="348" t="s">
        <v>7</v>
      </c>
      <c r="B17" s="334">
        <v>172</v>
      </c>
    </row>
    <row r="18" spans="1:6">
      <c r="A18" s="348" t="s">
        <v>8</v>
      </c>
      <c r="B18" s="334">
        <v>171</v>
      </c>
    </row>
    <row r="19" spans="1:6">
      <c r="A19" s="348" t="s">
        <v>9</v>
      </c>
      <c r="B19" s="334">
        <v>149</v>
      </c>
    </row>
    <row r="20" spans="1:6">
      <c r="A20" s="348" t="s">
        <v>10</v>
      </c>
      <c r="B20" s="334">
        <v>125</v>
      </c>
    </row>
    <row r="21" spans="1:6">
      <c r="A21" s="348" t="s">
        <v>11</v>
      </c>
      <c r="B21" s="334">
        <v>2966</v>
      </c>
    </row>
    <row r="22" spans="1:6">
      <c r="A22" s="348" t="s">
        <v>12</v>
      </c>
      <c r="B22" s="334">
        <v>16417</v>
      </c>
    </row>
    <row r="23" spans="1:6">
      <c r="A23" s="348" t="s">
        <v>13</v>
      </c>
      <c r="B23" s="334">
        <v>105</v>
      </c>
    </row>
    <row r="24" spans="1:6">
      <c r="A24" s="348" t="s">
        <v>14</v>
      </c>
      <c r="B24" s="334">
        <v>4</v>
      </c>
    </row>
    <row r="25" spans="1:6">
      <c r="A25" s="348" t="s">
        <v>15</v>
      </c>
      <c r="B25" s="334">
        <v>667</v>
      </c>
    </row>
    <row r="26" spans="1:6">
      <c r="A26" s="348" t="s">
        <v>16</v>
      </c>
      <c r="B26" s="334">
        <v>201</v>
      </c>
    </row>
    <row r="27" spans="1:6">
      <c r="A27" s="348" t="s">
        <v>17</v>
      </c>
      <c r="B27" s="334">
        <v>3</v>
      </c>
    </row>
    <row r="28" spans="1:6" s="356" customFormat="1">
      <c r="A28" s="355" t="s">
        <v>18</v>
      </c>
      <c r="B28" s="355">
        <v>48300</v>
      </c>
    </row>
    <row r="29" spans="1:6">
      <c r="A29" s="355" t="s">
        <v>744</v>
      </c>
      <c r="B29" s="355">
        <v>42</v>
      </c>
      <c r="C29" s="356"/>
      <c r="D29" s="356"/>
      <c r="E29" s="356"/>
      <c r="F29" s="356"/>
    </row>
    <row r="30" spans="1:6">
      <c r="A30" s="341" t="s">
        <v>745</v>
      </c>
      <c r="B30" s="341">
        <v>26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18</v>
      </c>
      <c r="F36" s="334">
        <v>15371764</v>
      </c>
    </row>
    <row r="37" spans="1:6">
      <c r="A37" s="348" t="s">
        <v>25</v>
      </c>
      <c r="B37" s="348" t="s">
        <v>28</v>
      </c>
      <c r="C37" s="334">
        <v>0</v>
      </c>
      <c r="D37" s="334">
        <v>0</v>
      </c>
      <c r="E37" s="334">
        <v>0</v>
      </c>
      <c r="F37" s="334">
        <v>0</v>
      </c>
    </row>
    <row r="38" spans="1:6">
      <c r="A38" s="348" t="s">
        <v>25</v>
      </c>
      <c r="B38" s="348" t="s">
        <v>29</v>
      </c>
      <c r="C38" s="334">
        <v>1</v>
      </c>
      <c r="D38" s="334">
        <v>116945.191746842</v>
      </c>
      <c r="E38" s="334">
        <v>0</v>
      </c>
      <c r="F38" s="334">
        <v>0</v>
      </c>
    </row>
    <row r="39" spans="1:6">
      <c r="A39" s="348" t="s">
        <v>30</v>
      </c>
      <c r="B39" s="348" t="s">
        <v>31</v>
      </c>
      <c r="C39" s="334">
        <v>9431</v>
      </c>
      <c r="D39" s="334">
        <v>142860648.29685599</v>
      </c>
      <c r="E39" s="334">
        <v>11868</v>
      </c>
      <c r="F39" s="334">
        <v>37849339.350000009</v>
      </c>
    </row>
    <row r="40" spans="1:6">
      <c r="A40" s="348" t="s">
        <v>30</v>
      </c>
      <c r="B40" s="348" t="s">
        <v>29</v>
      </c>
      <c r="C40" s="334">
        <v>0</v>
      </c>
      <c r="D40" s="334">
        <v>0</v>
      </c>
      <c r="E40" s="334">
        <v>0</v>
      </c>
      <c r="F40" s="334">
        <v>0</v>
      </c>
    </row>
    <row r="41" spans="1:6">
      <c r="A41" s="348" t="s">
        <v>32</v>
      </c>
      <c r="B41" s="348" t="s">
        <v>33</v>
      </c>
      <c r="C41" s="334">
        <v>221</v>
      </c>
      <c r="D41" s="334">
        <v>9057113.0802529603</v>
      </c>
      <c r="E41" s="334">
        <v>411</v>
      </c>
      <c r="F41" s="334">
        <v>14119505.1</v>
      </c>
    </row>
    <row r="42" spans="1:6">
      <c r="A42" s="348" t="s">
        <v>32</v>
      </c>
      <c r="B42" s="348" t="s">
        <v>34</v>
      </c>
      <c r="C42" s="334">
        <v>0</v>
      </c>
      <c r="D42" s="334">
        <v>0</v>
      </c>
      <c r="E42" s="334">
        <v>4</v>
      </c>
      <c r="F42" s="334">
        <v>396957</v>
      </c>
    </row>
    <row r="43" spans="1:6">
      <c r="A43" s="348" t="s">
        <v>32</v>
      </c>
      <c r="B43" s="348" t="s">
        <v>35</v>
      </c>
      <c r="C43" s="334">
        <v>0</v>
      </c>
      <c r="D43" s="334">
        <v>0</v>
      </c>
      <c r="E43" s="334">
        <v>6</v>
      </c>
      <c r="F43" s="334">
        <v>224976</v>
      </c>
    </row>
    <row r="44" spans="1:6">
      <c r="A44" s="348" t="s">
        <v>32</v>
      </c>
      <c r="B44" s="348" t="s">
        <v>36</v>
      </c>
      <c r="C44" s="334">
        <v>19</v>
      </c>
      <c r="D44" s="334">
        <v>1092636.8916551999</v>
      </c>
      <c r="E44" s="334">
        <v>82</v>
      </c>
      <c r="F44" s="334">
        <v>16835424</v>
      </c>
    </row>
    <row r="45" spans="1:6">
      <c r="A45" s="348" t="s">
        <v>32</v>
      </c>
      <c r="B45" s="348" t="s">
        <v>37</v>
      </c>
      <c r="C45" s="334">
        <v>0</v>
      </c>
      <c r="D45" s="334">
        <v>0</v>
      </c>
      <c r="E45" s="334">
        <v>6</v>
      </c>
      <c r="F45" s="334">
        <v>177679</v>
      </c>
    </row>
    <row r="46" spans="1:6">
      <c r="A46" s="348" t="s">
        <v>32</v>
      </c>
      <c r="B46" s="348" t="s">
        <v>38</v>
      </c>
      <c r="C46" s="334">
        <v>0</v>
      </c>
      <c r="D46" s="334">
        <v>0</v>
      </c>
      <c r="E46" s="334">
        <v>0</v>
      </c>
      <c r="F46" s="334">
        <v>0</v>
      </c>
    </row>
    <row r="47" spans="1:6">
      <c r="A47" s="348" t="s">
        <v>32</v>
      </c>
      <c r="B47" s="348" t="s">
        <v>39</v>
      </c>
      <c r="C47" s="334">
        <v>7</v>
      </c>
      <c r="D47" s="334">
        <v>431254.53253480501</v>
      </c>
      <c r="E47" s="334">
        <v>9</v>
      </c>
      <c r="F47" s="334">
        <v>308294</v>
      </c>
    </row>
    <row r="48" spans="1:6">
      <c r="A48" s="348" t="s">
        <v>32</v>
      </c>
      <c r="B48" s="348" t="s">
        <v>29</v>
      </c>
      <c r="C48" s="334">
        <v>58</v>
      </c>
      <c r="D48" s="334">
        <v>32564259.899619602</v>
      </c>
      <c r="E48" s="334">
        <v>0</v>
      </c>
      <c r="F48" s="334">
        <v>0</v>
      </c>
    </row>
    <row r="49" spans="1:6">
      <c r="A49" s="348" t="s">
        <v>32</v>
      </c>
      <c r="B49" s="348" t="s">
        <v>40</v>
      </c>
      <c r="C49" s="334">
        <v>3</v>
      </c>
      <c r="D49" s="334">
        <v>93908.485885378497</v>
      </c>
      <c r="E49" s="334">
        <v>16</v>
      </c>
      <c r="F49" s="334">
        <v>4563918</v>
      </c>
    </row>
    <row r="50" spans="1:6">
      <c r="A50" s="348" t="s">
        <v>32</v>
      </c>
      <c r="B50" s="348" t="s">
        <v>41</v>
      </c>
      <c r="C50" s="334">
        <v>17</v>
      </c>
      <c r="D50" s="334">
        <v>8521617.4912032299</v>
      </c>
      <c r="E50" s="334">
        <v>43</v>
      </c>
      <c r="F50" s="334">
        <v>49911189.549999997</v>
      </c>
    </row>
    <row r="51" spans="1:6">
      <c r="A51" s="348" t="s">
        <v>42</v>
      </c>
      <c r="B51" s="348" t="s">
        <v>43</v>
      </c>
      <c r="C51" s="334">
        <v>17</v>
      </c>
      <c r="D51" s="334">
        <v>7927245.6789244702</v>
      </c>
      <c r="E51" s="334">
        <v>83</v>
      </c>
      <c r="F51" s="334">
        <v>2905586.55</v>
      </c>
    </row>
    <row r="52" spans="1:6">
      <c r="A52" s="348" t="s">
        <v>42</v>
      </c>
      <c r="B52" s="348" t="s">
        <v>29</v>
      </c>
      <c r="C52" s="334">
        <v>4</v>
      </c>
      <c r="D52" s="334">
        <v>232891.42208032301</v>
      </c>
      <c r="E52" s="334">
        <v>0</v>
      </c>
      <c r="F52" s="334">
        <v>0</v>
      </c>
    </row>
    <row r="53" spans="1:6">
      <c r="A53" s="348" t="s">
        <v>44</v>
      </c>
      <c r="B53" s="348" t="s">
        <v>45</v>
      </c>
      <c r="C53" s="334">
        <v>201</v>
      </c>
      <c r="D53" s="334">
        <v>3720211.2650787602</v>
      </c>
      <c r="E53" s="334">
        <v>0</v>
      </c>
      <c r="F53" s="334">
        <v>0</v>
      </c>
    </row>
    <row r="54" spans="1:6">
      <c r="A54" s="348" t="s">
        <v>46</v>
      </c>
      <c r="B54" s="348" t="s">
        <v>47</v>
      </c>
      <c r="C54" s="334">
        <v>0</v>
      </c>
      <c r="D54" s="334">
        <v>0</v>
      </c>
      <c r="E54" s="334">
        <v>1</v>
      </c>
      <c r="F54" s="334">
        <v>1932119</v>
      </c>
    </row>
    <row r="55" spans="1:6">
      <c r="A55" s="348" t="s">
        <v>46</v>
      </c>
      <c r="B55" s="348" t="s">
        <v>29</v>
      </c>
      <c r="C55" s="334">
        <v>0</v>
      </c>
      <c r="D55" s="334">
        <v>0</v>
      </c>
      <c r="E55" s="334">
        <v>0</v>
      </c>
      <c r="F55" s="334">
        <v>0</v>
      </c>
    </row>
    <row r="56" spans="1:6">
      <c r="A56" s="348" t="s">
        <v>48</v>
      </c>
      <c r="B56" s="348" t="s">
        <v>29</v>
      </c>
      <c r="C56" s="334">
        <v>0</v>
      </c>
      <c r="D56" s="334">
        <v>0</v>
      </c>
      <c r="E56" s="334">
        <v>11</v>
      </c>
      <c r="F56" s="334">
        <v>6985714</v>
      </c>
    </row>
    <row r="57" spans="1:6">
      <c r="A57" s="348" t="s">
        <v>49</v>
      </c>
      <c r="B57" s="348" t="s">
        <v>50</v>
      </c>
      <c r="C57" s="334">
        <v>107</v>
      </c>
      <c r="D57" s="334">
        <v>5449009.7486013696</v>
      </c>
      <c r="E57" s="334">
        <v>157</v>
      </c>
      <c r="F57" s="334">
        <v>2512268.75</v>
      </c>
    </row>
    <row r="58" spans="1:6">
      <c r="A58" s="348" t="s">
        <v>49</v>
      </c>
      <c r="B58" s="348" t="s">
        <v>51</v>
      </c>
      <c r="C58" s="334">
        <v>102</v>
      </c>
      <c r="D58" s="334">
        <v>12114285.2381637</v>
      </c>
      <c r="E58" s="334">
        <v>72</v>
      </c>
      <c r="F58" s="334">
        <v>1526018.55</v>
      </c>
    </row>
    <row r="59" spans="1:6">
      <c r="A59" s="348" t="s">
        <v>49</v>
      </c>
      <c r="B59" s="348" t="s">
        <v>52</v>
      </c>
      <c r="C59" s="334">
        <v>230</v>
      </c>
      <c r="D59" s="334">
        <v>8737084.2424993794</v>
      </c>
      <c r="E59" s="334">
        <v>442</v>
      </c>
      <c r="F59" s="334">
        <v>14876900.200000001</v>
      </c>
    </row>
    <row r="60" spans="1:6">
      <c r="A60" s="348" t="s">
        <v>49</v>
      </c>
      <c r="B60" s="348" t="s">
        <v>53</v>
      </c>
      <c r="C60" s="334">
        <v>97</v>
      </c>
      <c r="D60" s="334">
        <v>4297580.7802553996</v>
      </c>
      <c r="E60" s="334">
        <v>114</v>
      </c>
      <c r="F60" s="334">
        <v>2621135.4</v>
      </c>
    </row>
    <row r="61" spans="1:6">
      <c r="A61" s="348" t="s">
        <v>49</v>
      </c>
      <c r="B61" s="348" t="s">
        <v>54</v>
      </c>
      <c r="C61" s="334">
        <v>209</v>
      </c>
      <c r="D61" s="334">
        <v>6214935.2467242302</v>
      </c>
      <c r="E61" s="334">
        <v>495</v>
      </c>
      <c r="F61" s="334">
        <v>7152295.75</v>
      </c>
    </row>
    <row r="62" spans="1:6">
      <c r="A62" s="348" t="s">
        <v>49</v>
      </c>
      <c r="B62" s="348" t="s">
        <v>55</v>
      </c>
      <c r="C62" s="334">
        <v>26</v>
      </c>
      <c r="D62" s="334">
        <v>4926341.7729856903</v>
      </c>
      <c r="E62" s="334">
        <v>25</v>
      </c>
      <c r="F62" s="334">
        <v>1050398</v>
      </c>
    </row>
    <row r="63" spans="1:6">
      <c r="A63" s="348" t="s">
        <v>49</v>
      </c>
      <c r="B63" s="348" t="s">
        <v>29</v>
      </c>
      <c r="C63" s="334">
        <v>106</v>
      </c>
      <c r="D63" s="334">
        <v>4521518.0696106404</v>
      </c>
      <c r="E63" s="334">
        <v>0</v>
      </c>
      <c r="F63" s="334">
        <v>0</v>
      </c>
    </row>
    <row r="64" spans="1:6">
      <c r="A64" s="348" t="s">
        <v>56</v>
      </c>
      <c r="B64" s="348" t="s">
        <v>57</v>
      </c>
      <c r="C64" s="334">
        <v>0</v>
      </c>
      <c r="D64" s="334">
        <v>0</v>
      </c>
      <c r="E64" s="334">
        <v>0</v>
      </c>
      <c r="F64" s="334">
        <v>0</v>
      </c>
    </row>
    <row r="65" spans="1:6">
      <c r="A65" s="348" t="s">
        <v>56</v>
      </c>
      <c r="B65" s="348" t="s">
        <v>29</v>
      </c>
      <c r="C65" s="334">
        <v>5</v>
      </c>
      <c r="D65" s="334">
        <v>263933.99805680697</v>
      </c>
      <c r="E65" s="334">
        <v>0</v>
      </c>
      <c r="F65" s="334">
        <v>0</v>
      </c>
    </row>
    <row r="66" spans="1:6">
      <c r="A66" s="348" t="s">
        <v>56</v>
      </c>
      <c r="B66" s="348" t="s">
        <v>58</v>
      </c>
      <c r="C66" s="334">
        <v>0</v>
      </c>
      <c r="D66" s="334">
        <v>0</v>
      </c>
      <c r="E66" s="334">
        <v>0</v>
      </c>
      <c r="F66" s="334">
        <v>0</v>
      </c>
    </row>
    <row r="67" spans="1:6">
      <c r="A67" s="355" t="s">
        <v>56</v>
      </c>
      <c r="B67" s="355" t="s">
        <v>59</v>
      </c>
      <c r="C67" s="334">
        <v>17</v>
      </c>
      <c r="D67" s="334">
        <v>2852358.0509476601</v>
      </c>
      <c r="E67" s="334">
        <v>0</v>
      </c>
      <c r="F67" s="334">
        <v>0</v>
      </c>
    </row>
    <row r="68" spans="1:6">
      <c r="A68" s="341" t="s">
        <v>56</v>
      </c>
      <c r="B68" s="341" t="s">
        <v>60</v>
      </c>
      <c r="C68" s="334">
        <v>9</v>
      </c>
      <c r="D68" s="334">
        <v>898018.59969764599</v>
      </c>
      <c r="E68" s="334">
        <v>23</v>
      </c>
      <c r="F68" s="334">
        <v>644581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82993497</v>
      </c>
      <c r="E73" s="476">
        <v>47826191.951063886</v>
      </c>
    </row>
    <row r="74" spans="1:6">
      <c r="A74" s="348" t="s">
        <v>64</v>
      </c>
      <c r="B74" s="348" t="s">
        <v>657</v>
      </c>
      <c r="C74" s="1213" t="s">
        <v>659</v>
      </c>
      <c r="D74" s="476">
        <v>8241131.9273948679</v>
      </c>
      <c r="E74" s="476">
        <v>6593472.5585257467</v>
      </c>
    </row>
    <row r="75" spans="1:6">
      <c r="A75" s="348" t="s">
        <v>65</v>
      </c>
      <c r="B75" s="348" t="s">
        <v>656</v>
      </c>
      <c r="C75" s="1213" t="s">
        <v>660</v>
      </c>
      <c r="D75" s="476">
        <v>72995881</v>
      </c>
      <c r="E75" s="476">
        <v>43244483.073238611</v>
      </c>
    </row>
    <row r="76" spans="1:6">
      <c r="A76" s="348" t="s">
        <v>65</v>
      </c>
      <c r="B76" s="348" t="s">
        <v>657</v>
      </c>
      <c r="C76" s="1213" t="s">
        <v>661</v>
      </c>
      <c r="D76" s="476">
        <v>4696808.9273948679</v>
      </c>
      <c r="E76" s="476">
        <v>3803606.0859741108</v>
      </c>
    </row>
    <row r="77" spans="1:6">
      <c r="A77" s="348" t="s">
        <v>66</v>
      </c>
      <c r="B77" s="348" t="s">
        <v>656</v>
      </c>
      <c r="C77" s="1213" t="s">
        <v>662</v>
      </c>
      <c r="D77" s="476">
        <v>45047123</v>
      </c>
      <c r="E77" s="476">
        <v>47373994.179091685</v>
      </c>
    </row>
    <row r="78" spans="1:6">
      <c r="A78" s="341" t="s">
        <v>66</v>
      </c>
      <c r="B78" s="341" t="s">
        <v>657</v>
      </c>
      <c r="C78" s="341" t="s">
        <v>663</v>
      </c>
      <c r="D78" s="1214">
        <v>7506605</v>
      </c>
      <c r="E78" s="1214">
        <v>7890059.5638286248</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181976.14521026489</v>
      </c>
      <c r="C83" s="476">
        <v>181823.84362397899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21701.65468675677</v>
      </c>
    </row>
    <row r="91" spans="1:6">
      <c r="A91" s="348" t="s">
        <v>68</v>
      </c>
      <c r="B91" s="334">
        <v>5060.3935041802897</v>
      </c>
    </row>
    <row r="92" spans="1:6">
      <c r="A92" s="341" t="s">
        <v>69</v>
      </c>
      <c r="B92" s="342">
        <v>2832.9005379714613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6493</v>
      </c>
    </row>
    <row r="98" spans="1:6">
      <c r="A98" s="348" t="s">
        <v>72</v>
      </c>
      <c r="B98" s="334">
        <v>1</v>
      </c>
    </row>
    <row r="99" spans="1:6">
      <c r="A99" s="348" t="s">
        <v>73</v>
      </c>
      <c r="B99" s="334">
        <v>111</v>
      </c>
    </row>
    <row r="100" spans="1:6">
      <c r="A100" s="348" t="s">
        <v>74</v>
      </c>
      <c r="B100" s="334">
        <v>642</v>
      </c>
    </row>
    <row r="101" spans="1:6">
      <c r="A101" s="348" t="s">
        <v>75</v>
      </c>
      <c r="B101" s="334">
        <v>159</v>
      </c>
    </row>
    <row r="102" spans="1:6">
      <c r="A102" s="348" t="s">
        <v>76</v>
      </c>
      <c r="B102" s="334">
        <v>177</v>
      </c>
    </row>
    <row r="103" spans="1:6">
      <c r="A103" s="348" t="s">
        <v>77</v>
      </c>
      <c r="B103" s="334">
        <v>221</v>
      </c>
    </row>
    <row r="104" spans="1:6">
      <c r="A104" s="348" t="s">
        <v>78</v>
      </c>
      <c r="B104" s="334">
        <v>2623</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18</v>
      </c>
      <c r="C123" s="334">
        <v>50</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322</v>
      </c>
    </row>
    <row r="130" spans="1:6">
      <c r="A130" s="348" t="s">
        <v>295</v>
      </c>
      <c r="B130" s="334">
        <v>3</v>
      </c>
    </row>
    <row r="131" spans="1:6">
      <c r="A131" s="348" t="s">
        <v>296</v>
      </c>
      <c r="B131" s="334">
        <v>3</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164103.48612980224</v>
      </c>
      <c r="C3" s="43" t="s">
        <v>170</v>
      </c>
      <c r="D3" s="43"/>
      <c r="E3" s="154"/>
      <c r="F3" s="43"/>
      <c r="G3" s="43"/>
      <c r="H3" s="43"/>
      <c r="I3" s="43"/>
      <c r="J3" s="43"/>
      <c r="K3" s="96"/>
    </row>
    <row r="4" spans="1:11">
      <c r="A4" s="383" t="s">
        <v>171</v>
      </c>
      <c r="B4" s="49">
        <f>IF(ISERROR('SEAP template'!B69),0,'SEAP template'!B69)</f>
        <v>33347.948728908523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891.88941176470587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0.18152486507081197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1274.127731092437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5361.4285714285716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1932.1189999999999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1932.1189999999999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0.18152486507081197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350.72764077575215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37849.339350000009</v>
      </c>
      <c r="C5" s="17">
        <f>IF(ISERROR('Eigen informatie GS &amp; warmtenet'!B57),0,'Eigen informatie GS &amp; warmtenet'!B57)</f>
        <v>0</v>
      </c>
      <c r="D5" s="30">
        <f>(SUM(HH_hh_gas_kWh,HH_rest_gas_kWh)/1000)*0.902</f>
        <v>128860.30476376408</v>
      </c>
      <c r="E5" s="17">
        <f>B46*B57</f>
        <v>6633.2748173368373</v>
      </c>
      <c r="F5" s="17">
        <f>B51*B62</f>
        <v>0</v>
      </c>
      <c r="G5" s="18"/>
      <c r="H5" s="17"/>
      <c r="I5" s="17"/>
      <c r="J5" s="17">
        <f>B50*B61+C50*C61</f>
        <v>0</v>
      </c>
      <c r="K5" s="17"/>
      <c r="L5" s="17"/>
      <c r="M5" s="17"/>
      <c r="N5" s="17">
        <f>B48*B59+C48*C59</f>
        <v>32381.339065127027</v>
      </c>
      <c r="O5" s="17">
        <f>B69*B70*B71</f>
        <v>586.25</v>
      </c>
      <c r="P5" s="17">
        <f>B77*B78*B79/1000-B77*B78*B79/1000/B80</f>
        <v>629.20000000000005</v>
      </c>
    </row>
    <row r="6" spans="1:16">
      <c r="A6" s="16" t="s">
        <v>621</v>
      </c>
      <c r="B6" s="843">
        <f>kWh_PV_kleiner_dan_10kW</f>
        <v>5060.3935041802897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42909.7328541803</v>
      </c>
      <c r="C8" s="21">
        <f>C5</f>
        <v>0</v>
      </c>
      <c r="D8" s="21">
        <f>D5</f>
        <v>128860.30476376408</v>
      </c>
      <c r="E8" s="21">
        <f>E5</f>
        <v>6633.2748173368373</v>
      </c>
      <c r="F8" s="21">
        <f>F5</f>
        <v>0</v>
      </c>
      <c r="G8" s="21"/>
      <c r="H8" s="21"/>
      <c r="I8" s="21"/>
      <c r="J8" s="21">
        <f>J5</f>
        <v>0</v>
      </c>
      <c r="K8" s="21"/>
      <c r="L8" s="21">
        <f>L5</f>
        <v>0</v>
      </c>
      <c r="M8" s="21">
        <f>M5</f>
        <v>0</v>
      </c>
      <c r="N8" s="21">
        <f>N5</f>
        <v>32381.339065127027</v>
      </c>
      <c r="O8" s="21">
        <f>O5</f>
        <v>586.25</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0.18152486507081197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7789.1834665796669</v>
      </c>
      <c r="C12" s="23">
        <f ca="1">C10*C8</f>
        <v>0</v>
      </c>
      <c r="D12" s="23">
        <f>D8*D10</f>
        <v>26029.781562280346</v>
      </c>
      <c r="E12" s="23">
        <f>E10*E8</f>
        <v>1505.753383535462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6493</v>
      </c>
      <c r="C18" s="166" t="s">
        <v>111</v>
      </c>
      <c r="D18" s="228"/>
      <c r="E18" s="15"/>
    </row>
    <row r="19" spans="1:7">
      <c r="A19" s="171" t="s">
        <v>72</v>
      </c>
      <c r="B19" s="37">
        <f>aantalw2001_ander</f>
        <v>1</v>
      </c>
      <c r="C19" s="166" t="s">
        <v>111</v>
      </c>
      <c r="D19" s="229"/>
      <c r="E19" s="15"/>
    </row>
    <row r="20" spans="1:7">
      <c r="A20" s="171" t="s">
        <v>73</v>
      </c>
      <c r="B20" s="37">
        <f>aantalw2001_propaan</f>
        <v>111</v>
      </c>
      <c r="C20" s="167">
        <f>IF(ISERROR(B20/SUM($B$20,$B$21,$B$22)*100),0,B20/SUM($B$20,$B$21,$B$22)*100)</f>
        <v>12.171052631578947</v>
      </c>
      <c r="D20" s="229"/>
      <c r="E20" s="15"/>
    </row>
    <row r="21" spans="1:7">
      <c r="A21" s="171" t="s">
        <v>74</v>
      </c>
      <c r="B21" s="37">
        <f>aantalw2001_elektriciteit</f>
        <v>642</v>
      </c>
      <c r="C21" s="167">
        <f>IF(ISERROR(B21/SUM($B$20,$B$21,$B$22)*100),0,B21/SUM($B$20,$B$21,$B$22)*100)</f>
        <v>70.39473684210526</v>
      </c>
      <c r="D21" s="229"/>
      <c r="E21" s="15"/>
    </row>
    <row r="22" spans="1:7">
      <c r="A22" s="171" t="s">
        <v>75</v>
      </c>
      <c r="B22" s="37">
        <f>aantalw2001_hout</f>
        <v>159</v>
      </c>
      <c r="C22" s="167">
        <f>IF(ISERROR(B22/SUM($B$20,$B$21,$B$22)*100),0,B22/SUM($B$20,$B$21,$B$22)*100)</f>
        <v>17.434210526315788</v>
      </c>
      <c r="D22" s="229"/>
      <c r="E22" s="15"/>
    </row>
    <row r="23" spans="1:7">
      <c r="A23" s="171" t="s">
        <v>76</v>
      </c>
      <c r="B23" s="37">
        <f>aantalw2001_niet_gespec</f>
        <v>177</v>
      </c>
      <c r="C23" s="166" t="s">
        <v>111</v>
      </c>
      <c r="D23" s="228"/>
      <c r="E23" s="15"/>
    </row>
    <row r="24" spans="1:7">
      <c r="A24" s="171" t="s">
        <v>77</v>
      </c>
      <c r="B24" s="37">
        <f>aantalw2001_steenkool</f>
        <v>221</v>
      </c>
      <c r="C24" s="166" t="s">
        <v>111</v>
      </c>
      <c r="D24" s="229"/>
      <c r="E24" s="15"/>
    </row>
    <row r="25" spans="1:7">
      <c r="A25" s="171" t="s">
        <v>78</v>
      </c>
      <c r="B25" s="37">
        <f>aantalw2001_stookolie</f>
        <v>2623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12038</v>
      </c>
      <c r="C28" s="36"/>
      <c r="D28" s="228"/>
    </row>
    <row r="29" spans="1:7" s="15" customFormat="1">
      <c r="A29" s="230" t="s">
        <v>795</v>
      </c>
      <c r="B29" s="37">
        <f>SUM(HH_hh_gas_aantal,HH_rest_gas_aantal)</f>
        <v>9431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9431</v>
      </c>
      <c r="C32" s="167">
        <f>IF(ISERROR(B32/SUM($B$32,$B$34,$B$35,$B$36,$B$38,$B$39)*100),0,B32/SUM($B$32,$B$34,$B$35,$B$36,$B$38,$B$39)*100)</f>
        <v>78.558933777592671</v>
      </c>
      <c r="D32" s="233"/>
      <c r="G32" s="15"/>
    </row>
    <row r="33" spans="1:7">
      <c r="A33" s="171" t="s">
        <v>72</v>
      </c>
      <c r="B33" s="34" t="s">
        <v>111</v>
      </c>
      <c r="C33" s="167"/>
      <c r="D33" s="233"/>
      <c r="G33" s="15"/>
    </row>
    <row r="34" spans="1:7">
      <c r="A34" s="171" t="s">
        <v>73</v>
      </c>
      <c r="B34" s="33">
        <f>IF((($B$28-$B$32-$B$39-$B$77-$B$38)*C20/100)&lt;0,0,($B$28-$B$32-$B$39-$B$77-$B$38)*C20/100)</f>
        <v>313.28289473684208</v>
      </c>
      <c r="C34" s="167">
        <f>IF(ISERROR(B34/SUM($B$32,$B$34,$B$35,$B$36,$B$38,$B$39)*100),0,B34/SUM($B$32,$B$34,$B$35,$B$36,$B$38,$B$39)*100)</f>
        <v>2.6096034547008919</v>
      </c>
      <c r="D34" s="233"/>
      <c r="G34" s="15"/>
    </row>
    <row r="35" spans="1:7">
      <c r="A35" s="171" t="s">
        <v>74</v>
      </c>
      <c r="B35" s="33">
        <f>IF((($B$28-$B$32-$B$39-$B$77-$B$38)*C21/100)&lt;0,0,($B$28-$B$32-$B$39-$B$77-$B$38)*C21/100)</f>
        <v>1811.9605263157894</v>
      </c>
      <c r="C35" s="167">
        <f>IF(ISERROR(B35/SUM($B$32,$B$34,$B$35,$B$36,$B$38,$B$39)*100),0,B35/SUM($B$32,$B$34,$B$35,$B$36,$B$38,$B$39)*100)</f>
        <v>15.09338214340516</v>
      </c>
      <c r="D35" s="233"/>
      <c r="G35" s="15"/>
    </row>
    <row r="36" spans="1:7">
      <c r="A36" s="171" t="s">
        <v>75</v>
      </c>
      <c r="B36" s="33">
        <f>IF((($B$28-$B$32-$B$39-$B$77-$B$38)*C22/100)&lt;0,0,($B$28-$B$32-$B$39-$B$77-$B$38)*C22/100)</f>
        <v>448.75657894736838</v>
      </c>
      <c r="C36" s="167">
        <f>IF(ISERROR(B36/SUM($B$32,$B$34,$B$35,$B$36,$B$38,$B$39)*100),0,B36/SUM($B$32,$B$34,$B$35,$B$36,$B$38,$B$39)*100)</f>
        <v>3.7380806243012779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9431</v>
      </c>
      <c r="C44" s="34" t="s">
        <v>111</v>
      </c>
      <c r="D44" s="174"/>
    </row>
    <row r="45" spans="1:7">
      <c r="A45" s="171" t="s">
        <v>72</v>
      </c>
      <c r="B45" s="33" t="str">
        <f t="shared" si="0"/>
        <v>-</v>
      </c>
      <c r="C45" s="34" t="s">
        <v>111</v>
      </c>
      <c r="D45" s="174"/>
    </row>
    <row r="46" spans="1:7">
      <c r="A46" s="171" t="s">
        <v>73</v>
      </c>
      <c r="B46" s="33">
        <f t="shared" si="0"/>
        <v>313.28289473684208</v>
      </c>
      <c r="C46" s="34" t="s">
        <v>111</v>
      </c>
      <c r="D46" s="174"/>
    </row>
    <row r="47" spans="1:7">
      <c r="A47" s="171" t="s">
        <v>74</v>
      </c>
      <c r="B47" s="33">
        <f t="shared" si="0"/>
        <v>1811.9605263157894</v>
      </c>
      <c r="C47" s="34" t="s">
        <v>111</v>
      </c>
      <c r="D47" s="174"/>
    </row>
    <row r="48" spans="1:7">
      <c r="A48" s="171" t="s">
        <v>75</v>
      </c>
      <c r="B48" s="33">
        <f t="shared" si="0"/>
        <v>448.75657894736838</v>
      </c>
      <c r="C48" s="33">
        <f>B48*10</f>
        <v>4487.5657894736842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29739.016650000001</v>
      </c>
      <c r="C5" s="17">
        <f>IF(ISERROR('Eigen informatie GS &amp; warmtenet'!B58),0,'Eigen informatie GS &amp; warmtenet'!B58)</f>
        <v>0</v>
      </c>
      <c r="D5" s="30">
        <f>SUM(D6:D12)</f>
        <v>41727.201099154052</v>
      </c>
      <c r="E5" s="17">
        <f>SUM(E6:E12)</f>
        <v>596.10127865576101</v>
      </c>
      <c r="F5" s="17">
        <f>SUM(F6:F12)</f>
        <v>5340.2164075388537</v>
      </c>
      <c r="G5" s="18"/>
      <c r="H5" s="17"/>
      <c r="I5" s="17"/>
      <c r="J5" s="17">
        <f>SUM(J6:J12)</f>
        <v>5.4531506740917661E-2</v>
      </c>
      <c r="K5" s="17"/>
      <c r="L5" s="17"/>
      <c r="M5" s="17"/>
      <c r="N5" s="17">
        <f>SUM(N6:N12)</f>
        <v>2188.1192090310528</v>
      </c>
      <c r="O5" s="17">
        <f>B38*B39*B40</f>
        <v>4.6900000000000004</v>
      </c>
      <c r="P5" s="17">
        <f>B46*B47*B48/1000-B46*B47*B48/1000/B49</f>
        <v>76.266666666666666</v>
      </c>
      <c r="R5" s="32"/>
    </row>
    <row r="6" spans="1:18">
      <c r="A6" s="32" t="s">
        <v>54</v>
      </c>
      <c r="B6" s="37">
        <f>B26</f>
        <v>7152.2957500000002</v>
      </c>
      <c r="C6" s="33"/>
      <c r="D6" s="37">
        <f>IF(ISERROR(TER_kantoor_gas_kWh/1000),0,TER_kantoor_gas_kWh/1000)*0.902</f>
        <v>5605.8715925452561</v>
      </c>
      <c r="E6" s="33">
        <f>$C$26*'E Balans VL '!I12/100/3.6*1000000</f>
        <v>4.4828210944701061E-2</v>
      </c>
      <c r="F6" s="33">
        <f>$C$26*('E Balans VL '!L12+'E Balans VL '!N12)/100/3.6*1000000</f>
        <v>1074.7901970208975</v>
      </c>
      <c r="G6" s="34"/>
      <c r="H6" s="33"/>
      <c r="I6" s="33"/>
      <c r="J6" s="33">
        <f>$C$26*('E Balans VL '!D12+'E Balans VL '!E12)/100/3.6*1000000</f>
        <v>0</v>
      </c>
      <c r="K6" s="33"/>
      <c r="L6" s="33"/>
      <c r="M6" s="33"/>
      <c r="N6" s="33">
        <f>$C$26*'E Balans VL '!Y12/100/3.6*1000000</f>
        <v>6.8401104406524951</v>
      </c>
      <c r="O6" s="33"/>
      <c r="P6" s="33"/>
      <c r="R6" s="32"/>
    </row>
    <row r="7" spans="1:18">
      <c r="A7" s="32" t="s">
        <v>53</v>
      </c>
      <c r="B7" s="37">
        <f t="shared" ref="B7:B12" si="0">B27</f>
        <v>2621.1354000000001</v>
      </c>
      <c r="C7" s="33"/>
      <c r="D7" s="37">
        <f>IF(ISERROR(TER_horeca_gas_kWh/1000),0,TER_horeca_gas_kWh/1000)*0.902</f>
        <v>3876.417863790371</v>
      </c>
      <c r="E7" s="33">
        <f>$C$27*'E Balans VL '!I9/100/3.6*1000000</f>
        <v>37.534222330188072</v>
      </c>
      <c r="F7" s="33">
        <f>$C$27*('E Balans VL '!L9+'E Balans VL '!N9)/100/3.6*1000000</f>
        <v>331.92219001599045</v>
      </c>
      <c r="G7" s="34"/>
      <c r="H7" s="33"/>
      <c r="I7" s="33"/>
      <c r="J7" s="33">
        <f>$C$27*('E Balans VL '!D9+'E Balans VL '!E9)/100/3.6*1000000</f>
        <v>0</v>
      </c>
      <c r="K7" s="33"/>
      <c r="L7" s="33"/>
      <c r="M7" s="33"/>
      <c r="N7" s="33">
        <f>$C$27*'E Balans VL '!Y9/100/3.6*1000000</f>
        <v>0.75351863642519668</v>
      </c>
      <c r="O7" s="33"/>
      <c r="P7" s="33"/>
      <c r="R7" s="32"/>
    </row>
    <row r="8" spans="1:18">
      <c r="A8" s="6" t="s">
        <v>52</v>
      </c>
      <c r="B8" s="37">
        <f t="shared" si="0"/>
        <v>14876.900200000002</v>
      </c>
      <c r="C8" s="33"/>
      <c r="D8" s="37">
        <f>IF(ISERROR(TER_handel_gas_kWh/1000),0,TER_handel_gas_kWh/1000)*0.902</f>
        <v>7880.8499867344399</v>
      </c>
      <c r="E8" s="33">
        <f>$C$28*'E Balans VL '!I13/100/3.6*1000000</f>
        <v>539.58333571685739</v>
      </c>
      <c r="F8" s="33">
        <f>$C$28*('E Balans VL '!L13+'E Balans VL '!N13)/100/3.6*1000000</f>
        <v>2865.4416167118015</v>
      </c>
      <c r="G8" s="34"/>
      <c r="H8" s="33"/>
      <c r="I8" s="33"/>
      <c r="J8" s="33">
        <f>$C$28*('E Balans VL '!D13+'E Balans VL '!E13)/100/3.6*1000000</f>
        <v>0</v>
      </c>
      <c r="K8" s="33"/>
      <c r="L8" s="33"/>
      <c r="M8" s="33"/>
      <c r="N8" s="33">
        <f>$C$28*'E Balans VL '!Y13/100/3.6*1000000</f>
        <v>20.607929799073812</v>
      </c>
      <c r="O8" s="33"/>
      <c r="P8" s="33"/>
      <c r="R8" s="32"/>
    </row>
    <row r="9" spans="1:18">
      <c r="A9" s="32" t="s">
        <v>51</v>
      </c>
      <c r="B9" s="37">
        <f t="shared" si="0"/>
        <v>1526.01855</v>
      </c>
      <c r="C9" s="33"/>
      <c r="D9" s="37">
        <f>IF(ISERROR(TER_gezond_gas_kWh/1000),0,TER_gezond_gas_kWh/1000)*0.902</f>
        <v>10927.085284823657</v>
      </c>
      <c r="E9" s="33">
        <f>$C$29*'E Balans VL '!I10/100/3.6*1000000</f>
        <v>9.5543827941222487E-2</v>
      </c>
      <c r="F9" s="33">
        <f>$C$29*('E Balans VL '!L10+'E Balans VL '!N10)/100/3.6*1000000</f>
        <v>226.69470188649606</v>
      </c>
      <c r="G9" s="34"/>
      <c r="H9" s="33"/>
      <c r="I9" s="33"/>
      <c r="J9" s="33">
        <f>$C$29*('E Balans VL '!D10+'E Balans VL '!E10)/100/3.6*1000000</f>
        <v>0</v>
      </c>
      <c r="K9" s="33"/>
      <c r="L9" s="33"/>
      <c r="M9" s="33"/>
      <c r="N9" s="33">
        <f>$C$29*'E Balans VL '!Y10/100/3.6*1000000</f>
        <v>23.604602179603273</v>
      </c>
      <c r="O9" s="33"/>
      <c r="P9" s="33"/>
      <c r="R9" s="32"/>
    </row>
    <row r="10" spans="1:18">
      <c r="A10" s="32" t="s">
        <v>50</v>
      </c>
      <c r="B10" s="37">
        <f t="shared" si="0"/>
        <v>2512.2687500000002</v>
      </c>
      <c r="C10" s="33"/>
      <c r="D10" s="37">
        <f>IF(ISERROR(TER_ander_gas_kWh/1000),0,TER_ander_gas_kWh/1000)*0.902</f>
        <v>4915.0067932384354</v>
      </c>
      <c r="E10" s="33">
        <f>$C$30*'E Balans VL '!I14/100/3.6*1000000</f>
        <v>2.9945345766839</v>
      </c>
      <c r="F10" s="33">
        <f>$C$30*('E Balans VL '!L14+'E Balans VL '!N14)/100/3.6*1000000</f>
        <v>657.321191696401</v>
      </c>
      <c r="G10" s="34"/>
      <c r="H10" s="33"/>
      <c r="I10" s="33"/>
      <c r="J10" s="33">
        <f>$C$30*('E Balans VL '!D14+'E Balans VL '!E14)/100/3.6*1000000</f>
        <v>5.4531506740917661E-2</v>
      </c>
      <c r="K10" s="33"/>
      <c r="L10" s="33"/>
      <c r="M10" s="33"/>
      <c r="N10" s="33">
        <f>$C$30*'E Balans VL '!Y14/100/3.6*1000000</f>
        <v>2133.3571481490012</v>
      </c>
      <c r="O10" s="33"/>
      <c r="P10" s="33"/>
      <c r="R10" s="32"/>
    </row>
    <row r="11" spans="1:18">
      <c r="A11" s="32" t="s">
        <v>55</v>
      </c>
      <c r="B11" s="37">
        <f t="shared" si="0"/>
        <v>1050.3979999999999</v>
      </c>
      <c r="C11" s="33"/>
      <c r="D11" s="37">
        <f>IF(ISERROR(TER_onderwijs_gas_kWh/1000),0,TER_onderwijs_gas_kWh/1000)*0.902</f>
        <v>4443.5602792330928</v>
      </c>
      <c r="E11" s="33">
        <f>$C$31*'E Balans VL '!I11/100/3.6*1000000</f>
        <v>15.848813993145699</v>
      </c>
      <c r="F11" s="33">
        <f>$C$31*('E Balans VL '!L11+'E Balans VL '!N11)/100/3.6*1000000</f>
        <v>184.04651020726743</v>
      </c>
      <c r="G11" s="34"/>
      <c r="H11" s="33"/>
      <c r="I11" s="33"/>
      <c r="J11" s="33">
        <f>$C$31*('E Balans VL '!D11+'E Balans VL '!E11)/100/3.6*1000000</f>
        <v>0</v>
      </c>
      <c r="K11" s="33"/>
      <c r="L11" s="33"/>
      <c r="M11" s="33"/>
      <c r="N11" s="33">
        <f>$C$31*'E Balans VL '!Y11/100/3.6*1000000</f>
        <v>2.9558998262969602</v>
      </c>
      <c r="O11" s="33"/>
      <c r="P11" s="33"/>
      <c r="R11" s="32"/>
    </row>
    <row r="12" spans="1:18">
      <c r="A12" s="32" t="s">
        <v>260</v>
      </c>
      <c r="B12" s="37">
        <f t="shared" si="0"/>
        <v>0</v>
      </c>
      <c r="C12" s="33"/>
      <c r="D12" s="37">
        <f>IF(ISERROR(TER_rest_gas_kWh/1000),0,TER_rest_gas_kWh/1000)*0.902</f>
        <v>4078.409298788798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29739.016650000001</v>
      </c>
      <c r="C16" s="21">
        <f t="shared" ca="1" si="1"/>
        <v>0</v>
      </c>
      <c r="D16" s="21">
        <f t="shared" ca="1" si="1"/>
        <v>41727.201099154052</v>
      </c>
      <c r="E16" s="21">
        <f t="shared" si="1"/>
        <v>596.10127865576101</v>
      </c>
      <c r="F16" s="21">
        <f t="shared" ca="1" si="1"/>
        <v>5340.2164075388537</v>
      </c>
      <c r="G16" s="21">
        <f t="shared" si="1"/>
        <v>0</v>
      </c>
      <c r="H16" s="21">
        <f t="shared" si="1"/>
        <v>0</v>
      </c>
      <c r="I16" s="21">
        <f t="shared" si="1"/>
        <v>0</v>
      </c>
      <c r="J16" s="21">
        <f t="shared" si="1"/>
        <v>5.4531506740917661E-2</v>
      </c>
      <c r="K16" s="21">
        <f t="shared" si="1"/>
        <v>0</v>
      </c>
      <c r="L16" s="21">
        <f t="shared" ca="1" si="1"/>
        <v>0</v>
      </c>
      <c r="M16" s="21">
        <f t="shared" si="1"/>
        <v>0</v>
      </c>
      <c r="N16" s="21">
        <f t="shared" ca="1" si="1"/>
        <v>2188.1192090310528</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0.18152486507081197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5398.3709847298815</v>
      </c>
      <c r="C20" s="23">
        <f t="shared" ref="C20:P20" ca="1" si="2">C16*C18</f>
        <v>0</v>
      </c>
      <c r="D20" s="23">
        <f t="shared" ca="1" si="2"/>
        <v>8428.8946220291182</v>
      </c>
      <c r="E20" s="23">
        <f t="shared" si="2"/>
        <v>135.31499025485775</v>
      </c>
      <c r="F20" s="23">
        <f t="shared" ca="1" si="2"/>
        <v>1425.8377808128739</v>
      </c>
      <c r="G20" s="23">
        <f t="shared" si="2"/>
        <v>0</v>
      </c>
      <c r="H20" s="23">
        <f t="shared" si="2"/>
        <v>0</v>
      </c>
      <c r="I20" s="23">
        <f t="shared" si="2"/>
        <v>0</v>
      </c>
      <c r="J20" s="23">
        <f t="shared" si="2"/>
        <v>1.9304153386284852E-2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7152.2957500000002</v>
      </c>
      <c r="C26" s="39">
        <f>IF(ISERROR(B26*3.6/1000000/'E Balans VL '!Z12*100),0,B26*3.6/1000000/'E Balans VL '!Z12*100)</f>
        <v>0.15118820200333821</v>
      </c>
      <c r="D26" s="237" t="s">
        <v>754</v>
      </c>
      <c r="F26" s="6"/>
    </row>
    <row r="27" spans="1:18">
      <c r="A27" s="231" t="s">
        <v>53</v>
      </c>
      <c r="B27" s="33">
        <f>IF(ISERROR(TER_horeca_ele_kWh/1000),0,TER_horeca_ele_kWh/1000)</f>
        <v>2621.1354000000001</v>
      </c>
      <c r="C27" s="39">
        <f>IF(ISERROR(B27*3.6/1000000/'E Balans VL '!Z9*100),0,B27*3.6/1000000/'E Balans VL '!Z9*100)</f>
        <v>0.20662312663496152</v>
      </c>
      <c r="D27" s="237" t="s">
        <v>754</v>
      </c>
      <c r="F27" s="6"/>
    </row>
    <row r="28" spans="1:18">
      <c r="A28" s="171" t="s">
        <v>52</v>
      </c>
      <c r="B28" s="33">
        <f>IF(ISERROR(TER_handel_ele_kWh/1000),0,TER_handel_ele_kWh/1000)</f>
        <v>14876.900200000002</v>
      </c>
      <c r="C28" s="39">
        <f>IF(ISERROR(B28*3.6/1000000/'E Balans VL '!Z13*100),0,B28*3.6/1000000/'E Balans VL '!Z13*100)</f>
        <v>0.43178775321643459</v>
      </c>
      <c r="D28" s="237" t="s">
        <v>754</v>
      </c>
      <c r="F28" s="6"/>
    </row>
    <row r="29" spans="1:18">
      <c r="A29" s="231" t="s">
        <v>51</v>
      </c>
      <c r="B29" s="33">
        <f>IF(ISERROR(TER_gezond_ele_kWh/1000),0,TER_gezond_ele_kWh/1000)</f>
        <v>1526.01855</v>
      </c>
      <c r="C29" s="39">
        <f>IF(ISERROR(B29*3.6/1000000/'E Balans VL '!Z10*100),0,B29*3.6/1000000/'E Balans VL '!Z10*100)</f>
        <v>0.16071481120102235</v>
      </c>
      <c r="D29" s="237" t="s">
        <v>754</v>
      </c>
      <c r="F29" s="6"/>
    </row>
    <row r="30" spans="1:18">
      <c r="A30" s="231" t="s">
        <v>50</v>
      </c>
      <c r="B30" s="33">
        <f>IF(ISERROR(TER_ander_ele_kWh/1000),0,TER_ander_ele_kWh/1000)</f>
        <v>2512.2687500000002</v>
      </c>
      <c r="C30" s="39">
        <f>IF(ISERROR(B30*3.6/1000000/'E Balans VL '!Z14*100),0,B30*3.6/1000000/'E Balans VL '!Z14*100)</f>
        <v>0.1853054886620582</v>
      </c>
      <c r="D30" s="237" t="s">
        <v>754</v>
      </c>
      <c r="F30" s="6"/>
    </row>
    <row r="31" spans="1:18">
      <c r="A31" s="231" t="s">
        <v>55</v>
      </c>
      <c r="B31" s="33">
        <f>IF(ISERROR(TER_onderwijs_ele_kWh/1000),0,TER_onderwijs_ele_kWh/1000)</f>
        <v>1050.3979999999999</v>
      </c>
      <c r="C31" s="39">
        <f>IF(ISERROR(B31*3.6/1000000/'E Balans VL '!Z11*100),0,B31*3.6/1000000/'E Balans VL '!Z11*100)</f>
        <v>0.26086302694001778</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86537.942649999983</v>
      </c>
      <c r="C5" s="17">
        <f>IF(ISERROR('Eigen informatie GS &amp; warmtenet'!B59),0,'Eigen informatie GS &amp; warmtenet'!B59)</f>
        <v>0</v>
      </c>
      <c r="D5" s="30">
        <f>SUM(D6:D15)</f>
        <v>46688.232923798365</v>
      </c>
      <c r="E5" s="17">
        <f>SUM(E6:E15)</f>
        <v>4407.8987929613531</v>
      </c>
      <c r="F5" s="17">
        <f>SUM(F6:F15)</f>
        <v>16632.044050848053</v>
      </c>
      <c r="G5" s="18"/>
      <c r="H5" s="17"/>
      <c r="I5" s="17"/>
      <c r="J5" s="17">
        <f>SUM(J6:J15)</f>
        <v>0.33966070130844117</v>
      </c>
      <c r="K5" s="17"/>
      <c r="L5" s="17"/>
      <c r="M5" s="17"/>
      <c r="N5" s="17">
        <f>SUM(N6:N15)</f>
        <v>9545.4674279467163</v>
      </c>
      <c r="O5" s="17">
        <f>B43*B44*B45</f>
        <v>0</v>
      </c>
      <c r="P5" s="17">
        <f>B51*B52*B53/1000-B51*B52*B53/1000/B54</f>
        <v>0</v>
      </c>
      <c r="R5" s="32"/>
    </row>
    <row r="6" spans="1:18">
      <c r="A6" s="6" t="s">
        <v>35</v>
      </c>
      <c r="B6" s="37">
        <f>IF( ISERROR(IND_ijzer_ele_kWh/1000),0,IND_ijzer_ele_kWh/1000)</f>
        <v>224.976</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16835.423999999999</v>
      </c>
      <c r="C8" s="33"/>
      <c r="D8" s="37">
        <f>IF( ISERROR(IND_metaal_Gas_kWH/1000),0,IND_metaal_Gas_kWH/1000)*0.902</f>
        <v>985.55847627299033</v>
      </c>
      <c r="E8" s="33">
        <f>C30*'E Balans VL '!I18/100/3.6*1000000</f>
        <v>154.78546387286954</v>
      </c>
      <c r="F8" s="33">
        <f>C30*'E Balans VL '!L18/100/3.6*1000000+C30*'E Balans VL '!N18/100/3.6*1000000</f>
        <v>1578.6022631978499</v>
      </c>
      <c r="G8" s="34"/>
      <c r="H8" s="33"/>
      <c r="I8" s="33"/>
      <c r="J8" s="40">
        <f>C30*'E Balans VL '!D18/100/3.6*1000000+C30*'E Balans VL '!E18/100/3.6*1000000</f>
        <v>0</v>
      </c>
      <c r="K8" s="33"/>
      <c r="L8" s="33"/>
      <c r="M8" s="33"/>
      <c r="N8" s="33">
        <f>C30*'E Balans VL '!Y18/100/3.6*1000000</f>
        <v>240.18514506976135</v>
      </c>
      <c r="O8" s="33"/>
      <c r="P8" s="33"/>
      <c r="R8" s="32"/>
    </row>
    <row r="9" spans="1:18">
      <c r="A9" s="6" t="s">
        <v>33</v>
      </c>
      <c r="B9" s="37">
        <f t="shared" si="0"/>
        <v>14119.5051</v>
      </c>
      <c r="C9" s="33"/>
      <c r="D9" s="37">
        <f>IF( ISERROR(IND_andere_gas_kWh/1000),0,IND_andere_gas_kWh/1000)*0.902</f>
        <v>8169.5159983881704</v>
      </c>
      <c r="E9" s="33">
        <f>C31*'E Balans VL '!I19/100/3.6*1000000</f>
        <v>4127.406215073056</v>
      </c>
      <c r="F9" s="33">
        <f>C31*'E Balans VL '!L19/100/3.6*1000000+C31*'E Balans VL '!N19/100/3.6*1000000</f>
        <v>11346.091096183145</v>
      </c>
      <c r="G9" s="34"/>
      <c r="H9" s="33"/>
      <c r="I9" s="33"/>
      <c r="J9" s="40">
        <f>C31*'E Balans VL '!D19/100/3.6*1000000+C31*'E Balans VL '!E19/100/3.6*1000000</f>
        <v>0</v>
      </c>
      <c r="K9" s="33"/>
      <c r="L9" s="33"/>
      <c r="M9" s="33"/>
      <c r="N9" s="33">
        <f>C31*'E Balans VL '!Y19/100/3.6*1000000</f>
        <v>4665.3034630385482</v>
      </c>
      <c r="O9" s="33"/>
      <c r="P9" s="33"/>
      <c r="R9" s="32"/>
    </row>
    <row r="10" spans="1:18">
      <c r="A10" s="6" t="s">
        <v>41</v>
      </c>
      <c r="B10" s="37">
        <f t="shared" si="0"/>
        <v>49911.189549999996</v>
      </c>
      <c r="C10" s="33"/>
      <c r="D10" s="37">
        <f>IF( ISERROR(IND_voed_gas_kWh/1000),0,IND_voed_gas_kWh/1000)*0.902</f>
        <v>7686.4989770653128</v>
      </c>
      <c r="E10" s="33">
        <f>C32*'E Balans VL '!I20/100/3.6*1000000</f>
        <v>105.58789537518473</v>
      </c>
      <c r="F10" s="33">
        <f>C32*'E Balans VL '!L20/100/3.6*1000000+C32*'E Balans VL '!N20/100/3.6*1000000</f>
        <v>3173.404414374078</v>
      </c>
      <c r="G10" s="34"/>
      <c r="H10" s="33"/>
      <c r="I10" s="33"/>
      <c r="J10" s="40">
        <f>C32*'E Balans VL '!D20/100/3.6*1000000+C32*'E Balans VL '!E20/100/3.6*1000000</f>
        <v>0</v>
      </c>
      <c r="K10" s="33"/>
      <c r="L10" s="33"/>
      <c r="M10" s="33"/>
      <c r="N10" s="33">
        <f>C32*'E Balans VL '!Y20/100/3.6*1000000</f>
        <v>3444.3646146033821</v>
      </c>
      <c r="O10" s="33"/>
      <c r="P10" s="33"/>
      <c r="R10" s="32"/>
    </row>
    <row r="11" spans="1:18">
      <c r="A11" s="6" t="s">
        <v>40</v>
      </c>
      <c r="B11" s="37">
        <f t="shared" si="0"/>
        <v>4563.9179999999997</v>
      </c>
      <c r="C11" s="33"/>
      <c r="D11" s="37">
        <f>IF( ISERROR(IND_textiel_gas_kWh/1000),0,IND_textiel_gas_kWh/1000)*0.902</f>
        <v>84.705454268611405</v>
      </c>
      <c r="E11" s="33">
        <f>C33*'E Balans VL '!I21/100/3.6*1000000</f>
        <v>13.554442974623761</v>
      </c>
      <c r="F11" s="33">
        <f>C33*'E Balans VL '!L21/100/3.6*1000000+C33*'E Balans VL '!N21/100/3.6*1000000</f>
        <v>461.08101633698385</v>
      </c>
      <c r="G11" s="34"/>
      <c r="H11" s="33"/>
      <c r="I11" s="33"/>
      <c r="J11" s="40">
        <f>C33*'E Balans VL '!D21/100/3.6*1000000+C33*'E Balans VL '!E21/100/3.6*1000000</f>
        <v>0</v>
      </c>
      <c r="K11" s="33"/>
      <c r="L11" s="33"/>
      <c r="M11" s="33"/>
      <c r="N11" s="33">
        <f>C33*'E Balans VL '!Y21/100/3.6*1000000</f>
        <v>251.71464277911178</v>
      </c>
      <c r="O11" s="33"/>
      <c r="P11" s="33"/>
      <c r="R11" s="32"/>
    </row>
    <row r="12" spans="1:18">
      <c r="A12" s="6" t="s">
        <v>37</v>
      </c>
      <c r="B12" s="37">
        <f t="shared" si="0"/>
        <v>177.679</v>
      </c>
      <c r="C12" s="33"/>
      <c r="D12" s="37">
        <f>IF( ISERROR(IND_min_gas_kWh/1000),0,IND_min_gas_kWh/1000)*0.902</f>
        <v>0</v>
      </c>
      <c r="E12" s="33">
        <f>C34*'E Balans VL '!I22/100/3.6*1000000</f>
        <v>5.1501825875548635</v>
      </c>
      <c r="F12" s="33">
        <f>C34*'E Balans VL '!L22/100/3.6*1000000+C34*'E Balans VL '!N22/100/3.6*1000000</f>
        <v>61.088048017448422</v>
      </c>
      <c r="G12" s="34"/>
      <c r="H12" s="33"/>
      <c r="I12" s="33"/>
      <c r="J12" s="40">
        <f>C34*'E Balans VL '!D22/100/3.6*1000000+C34*'E Balans VL '!E22/100/3.6*1000000</f>
        <v>0.29198013976798937</v>
      </c>
      <c r="K12" s="33"/>
      <c r="L12" s="33"/>
      <c r="M12" s="33"/>
      <c r="N12" s="33">
        <f>C34*'E Balans VL '!Y22/100/3.6*1000000</f>
        <v>38.89685295076216</v>
      </c>
      <c r="O12" s="33"/>
      <c r="P12" s="33"/>
      <c r="R12" s="32"/>
    </row>
    <row r="13" spans="1:18">
      <c r="A13" s="6" t="s">
        <v>39</v>
      </c>
      <c r="B13" s="37">
        <f t="shared" si="0"/>
        <v>308.29399999999998</v>
      </c>
      <c r="C13" s="33"/>
      <c r="D13" s="37">
        <f>IF( ISERROR(IND_papier_gas_kWh/1000),0,IND_papier_gas_kWh/1000)*0.902</f>
        <v>388.99158834639417</v>
      </c>
      <c r="E13" s="33">
        <f>C35*'E Balans VL '!I23/100/3.6*1000000</f>
        <v>0.43739867970953888</v>
      </c>
      <c r="F13" s="33">
        <f>C35*'E Balans VL '!L23/100/3.6*1000000+C35*'E Balans VL '!N23/100/3.6*1000000</f>
        <v>7.5266158001826167</v>
      </c>
      <c r="G13" s="34"/>
      <c r="H13" s="33"/>
      <c r="I13" s="33"/>
      <c r="J13" s="40">
        <f>C35*'E Balans VL '!D23/100/3.6*1000000+C35*'E Balans VL '!E23/100/3.6*1000000</f>
        <v>4.7680561540451832E-2</v>
      </c>
      <c r="K13" s="33"/>
      <c r="L13" s="33"/>
      <c r="M13" s="33"/>
      <c r="N13" s="33">
        <f>C35*'E Balans VL '!Y23/100/3.6*1000000</f>
        <v>896.13767979757847</v>
      </c>
      <c r="O13" s="33"/>
      <c r="P13" s="33"/>
      <c r="R13" s="32"/>
    </row>
    <row r="14" spans="1:18">
      <c r="A14" s="6" t="s">
        <v>34</v>
      </c>
      <c r="B14" s="37">
        <f t="shared" si="0"/>
        <v>396.95699999999999</v>
      </c>
      <c r="C14" s="33"/>
      <c r="D14" s="37">
        <f>IF( ISERROR(IND_chemie_gas_kWh/1000),0,IND_chemie_gas_kWh/1000)*0.902</f>
        <v>0</v>
      </c>
      <c r="E14" s="33">
        <f>C36*'E Balans VL '!I24/100/3.6*1000000</f>
        <v>0.97719439835434474</v>
      </c>
      <c r="F14" s="33">
        <f>C36*'E Balans VL '!L24/100/3.6*1000000+C36*'E Balans VL '!N24/100/3.6*1000000</f>
        <v>4.250596938364815</v>
      </c>
      <c r="G14" s="34"/>
      <c r="H14" s="33"/>
      <c r="I14" s="33"/>
      <c r="J14" s="40">
        <f>C36*'E Balans VL '!D24/100/3.6*1000000+C36*'E Balans VL '!E24/100/3.6*1000000</f>
        <v>0</v>
      </c>
      <c r="K14" s="33"/>
      <c r="L14" s="33"/>
      <c r="M14" s="33"/>
      <c r="N14" s="33">
        <f>C36*'E Balans VL '!Y24/100/3.6*1000000</f>
        <v>8.8650297075707432</v>
      </c>
      <c r="O14" s="33"/>
      <c r="P14" s="33"/>
      <c r="R14" s="32"/>
    </row>
    <row r="15" spans="1:18">
      <c r="A15" s="6" t="s">
        <v>270</v>
      </c>
      <c r="B15" s="37">
        <f t="shared" si="0"/>
        <v>0</v>
      </c>
      <c r="C15" s="33"/>
      <c r="D15" s="37">
        <f>IF( ISERROR(IND_rest_gas_kWh/1000),0,IND_rest_gas_kWh/1000)*0.902</f>
        <v>29372.962429456882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86537.942649999983</v>
      </c>
      <c r="C18" s="21">
        <f>C5+C16</f>
        <v>0</v>
      </c>
      <c r="D18" s="21">
        <f>MAX((D5+D16),0)</f>
        <v>46688.232923798365</v>
      </c>
      <c r="E18" s="21">
        <f>MAX((E5+E16),0)</f>
        <v>4407.8987929613531</v>
      </c>
      <c r="F18" s="21">
        <f>MAX((F5+F16),0)</f>
        <v>16632.044050848053</v>
      </c>
      <c r="G18" s="21"/>
      <c r="H18" s="21"/>
      <c r="I18" s="21"/>
      <c r="J18" s="21">
        <f>MAX((J5+J16),0)</f>
        <v>0.33966070130844117</v>
      </c>
      <c r="K18" s="21"/>
      <c r="L18" s="21">
        <f>MAX((L5+L16),0)</f>
        <v>0</v>
      </c>
      <c r="M18" s="21"/>
      <c r="N18" s="21">
        <f>MAX((N5+N16),0)</f>
        <v>9545.4674279467163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0.18152486507081197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15708.788363046911</v>
      </c>
      <c r="C22" s="23">
        <f ca="1">C18*C20</f>
        <v>0</v>
      </c>
      <c r="D22" s="23">
        <f>D18*D20</f>
        <v>9431.0230506072712</v>
      </c>
      <c r="E22" s="23">
        <f>E18*E20</f>
        <v>1000.5930260022272</v>
      </c>
      <c r="F22" s="23">
        <f>F18*F20</f>
        <v>4440.7557615764308</v>
      </c>
      <c r="G22" s="23"/>
      <c r="H22" s="23"/>
      <c r="I22" s="23"/>
      <c r="J22" s="23">
        <f>J18*J20</f>
        <v>0.12023988826318817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16835.423999999999</v>
      </c>
      <c r="C30" s="39">
        <f>IF(ISERROR(B30*3.6/1000000/'E Balans VL '!Z18*100),0,B30*3.6/1000000/'E Balans VL '!Z18*100)</f>
        <v>0.95410664693058767</v>
      </c>
      <c r="D30" s="237" t="s">
        <v>754</v>
      </c>
    </row>
    <row r="31" spans="1:18">
      <c r="A31" s="6" t="s">
        <v>33</v>
      </c>
      <c r="B31" s="37">
        <f>IF( ISERROR(IND_ander_ele_kWh/1000),0,IND_ander_ele_kWh/1000)</f>
        <v>14119.5051</v>
      </c>
      <c r="C31" s="39">
        <f>IF(ISERROR(B31*3.6/1000000/'E Balans VL '!Z19*100),0,B31*3.6/1000000/'E Balans VL '!Z19*100)</f>
        <v>0.64040195874003081</v>
      </c>
      <c r="D31" s="237" t="s">
        <v>754</v>
      </c>
    </row>
    <row r="32" spans="1:18">
      <c r="A32" s="171" t="s">
        <v>41</v>
      </c>
      <c r="B32" s="37">
        <f>IF( ISERROR(IND_voed_ele_kWh/1000),0,IND_voed_ele_kWh/1000)</f>
        <v>49911.189549999996</v>
      </c>
      <c r="C32" s="39">
        <f>IF(ISERROR(B32*3.6/1000000/'E Balans VL '!Z20*100),0,B32*3.6/1000000/'E Balans VL '!Z20*100)</f>
        <v>1.5439796704508595</v>
      </c>
      <c r="D32" s="237" t="s">
        <v>754</v>
      </c>
    </row>
    <row r="33" spans="1:5">
      <c r="A33" s="171" t="s">
        <v>40</v>
      </c>
      <c r="B33" s="37">
        <f>IF( ISERROR(IND_textiel_ele_kWh/1000),0,IND_textiel_ele_kWh/1000)</f>
        <v>4563.9179999999997</v>
      </c>
      <c r="C33" s="39">
        <f>IF(ISERROR(B33*3.6/1000000/'E Balans VL '!Z21*100),0,B33*3.6/1000000/'E Balans VL '!Z21*100)</f>
        <v>0.59508417666822444</v>
      </c>
      <c r="D33" s="237" t="s">
        <v>754</v>
      </c>
    </row>
    <row r="34" spans="1:5">
      <c r="A34" s="171" t="s">
        <v>37</v>
      </c>
      <c r="B34" s="37">
        <f>IF( ISERROR(IND_min_ele_kWh/1000),0,IND_min_ele_kWh/1000)</f>
        <v>177.679</v>
      </c>
      <c r="C34" s="39">
        <f>IF(ISERROR(B34*3.6/1000000/'E Balans VL '!Z22*100),0,B34*3.6/1000000/'E Balans VL '!Z22*100)</f>
        <v>3.1958908579044265E-2</v>
      </c>
      <c r="D34" s="237" t="s">
        <v>754</v>
      </c>
    </row>
    <row r="35" spans="1:5">
      <c r="A35" s="171" t="s">
        <v>39</v>
      </c>
      <c r="B35" s="37">
        <f>IF( ISERROR(IND_papier_ele_kWh/1000),0,IND_papier_ele_kWh/1000)</f>
        <v>308.29399999999998</v>
      </c>
      <c r="C35" s="39">
        <f>IF(ISERROR(B35*3.6/1000000/'E Balans VL '!Z22*100),0,B35*3.6/1000000/'E Balans VL '!Z22*100)</f>
        <v>5.5452471937977324E-2</v>
      </c>
      <c r="D35" s="237" t="s">
        <v>754</v>
      </c>
    </row>
    <row r="36" spans="1:5">
      <c r="A36" s="171" t="s">
        <v>34</v>
      </c>
      <c r="B36" s="37">
        <f>IF( ISERROR(IND_chemie_ele_kWh/1000),0,IND_chemie_ele_kWh/1000)</f>
        <v>396.95699999999999</v>
      </c>
      <c r="C36" s="39">
        <f>IF(ISERROR(B36*3.6/1000000/'E Balans VL '!Z24*100),0,B36*3.6/1000000/'E Balans VL '!Z24*100)</f>
        <v>1.210481662946606E-2</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2905.58655</v>
      </c>
      <c r="C5" s="17">
        <f>'Eigen informatie GS &amp; warmtenet'!B60</f>
        <v>0</v>
      </c>
      <c r="D5" s="30">
        <f>IF(ISERROR(SUM(LB_lb_gas_kWh,LB_rest_gas_kWh,onbekend_gas_kWh)/1000),0,SUM(LB_lb_gas_kWh,LB_rest_gas_kWh,onbekend_gas_kWh)/1000)*0.902</f>
        <v>10716.074226207365</v>
      </c>
      <c r="E5" s="17">
        <f>B17*'E Balans VL '!I25/3.6*1000000/100</f>
        <v>85.404063390153212</v>
      </c>
      <c r="F5" s="17">
        <f>B17*('E Balans VL '!L25/3.6*1000000+'E Balans VL '!N25/3.6*1000000)/100</f>
        <v>12104.51655764391</v>
      </c>
      <c r="G5" s="18"/>
      <c r="H5" s="17"/>
      <c r="I5" s="17"/>
      <c r="J5" s="17">
        <f>('E Balans VL '!D25+'E Balans VL '!E25)/3.6*1000000*landbouw!B17/100</f>
        <v>420.95709290957376</v>
      </c>
      <c r="K5" s="17"/>
      <c r="L5" s="17">
        <f>L6*(-1)</f>
        <v>0</v>
      </c>
      <c r="M5" s="17"/>
      <c r="N5" s="17">
        <f>N6*(-1)</f>
        <v>0</v>
      </c>
      <c r="O5" s="17"/>
      <c r="P5" s="17"/>
      <c r="R5" s="32"/>
    </row>
    <row r="6" spans="1:18">
      <c r="A6" s="16" t="s">
        <v>488</v>
      </c>
      <c r="B6" s="17" t="s">
        <v>211</v>
      </c>
      <c r="C6" s="17">
        <f>'lokale energieproductie'!O91+'lokale energieproductie'!O60</f>
        <v>5361.4285714285716</v>
      </c>
      <c r="D6" s="310">
        <f>('lokale energieproductie'!P60+'lokale energieproductie'!P91)*(-1)</f>
        <v>-10722.857142857143</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2905.58655</v>
      </c>
      <c r="C8" s="21">
        <f>C5+C6</f>
        <v>5361.4285714285716</v>
      </c>
      <c r="D8" s="21">
        <f>MAX((D5+D6),0)</f>
        <v>0</v>
      </c>
      <c r="E8" s="21">
        <f>MAX((E5+E6),0)</f>
        <v>85.404063390153212</v>
      </c>
      <c r="F8" s="21">
        <f>MAX((F5+F6),0)</f>
        <v>12104.51655764391</v>
      </c>
      <c r="G8" s="21"/>
      <c r="H8" s="21"/>
      <c r="I8" s="21"/>
      <c r="J8" s="21">
        <f>MAX((J5+J6),0)</f>
        <v>420.95709290957376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0.18152486507081197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527.43620644031603</v>
      </c>
      <c r="C12" s="23">
        <f ca="1">C8*C10</f>
        <v>1274.127731092437</v>
      </c>
      <c r="D12" s="23">
        <f>D8*D10</f>
        <v>0</v>
      </c>
      <c r="E12" s="23">
        <f>E8*E10</f>
        <v>19.386722389564781</v>
      </c>
      <c r="F12" s="23">
        <f>F8*F10</f>
        <v>3231.9059208909243</v>
      </c>
      <c r="G12" s="23"/>
      <c r="H12" s="23"/>
      <c r="I12" s="23"/>
      <c r="J12" s="23">
        <f>J8*J10</f>
        <v>149.01881088998911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0.41231184744479099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76.319823690374008</v>
      </c>
      <c r="C26" s="247">
        <f>B26*'GWP N2O_CH4'!B5</f>
        <v>1602.7162974978542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98.188673083844066</v>
      </c>
      <c r="C27" s="247">
        <f>B27*'GWP N2O_CH4'!B5</f>
        <v>2061.9621347607253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1.2770141253467944</v>
      </c>
      <c r="C28" s="247">
        <f>B28*'GWP N2O_CH4'!B4</f>
        <v>395.87437885750626</v>
      </c>
      <c r="D28" s="50"/>
    </row>
    <row r="29" spans="1:4">
      <c r="A29" s="41" t="s">
        <v>277</v>
      </c>
      <c r="B29" s="247">
        <f>B34*'ha_N2O bodem landbouw'!B4</f>
        <v>5.7648542931463069</v>
      </c>
      <c r="C29" s="247">
        <f>B29*'GWP N2O_CH4'!B4</f>
        <v>1787.1048308753552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1.3155198831242873E-3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2.8471833223905928E-4</v>
      </c>
      <c r="C5" s="463" t="s">
        <v>211</v>
      </c>
      <c r="D5" s="448">
        <f>SUM(D6:D11)</f>
        <v>1.1040497694078889E-3</v>
      </c>
      <c r="E5" s="448">
        <f>SUM(E6:E11)</f>
        <v>1.5197401248217394E-3</v>
      </c>
      <c r="F5" s="461" t="s">
        <v>211</v>
      </c>
      <c r="G5" s="448">
        <f>SUM(G6:G11)</f>
        <v>0.57208349012888127</v>
      </c>
      <c r="H5" s="448">
        <f>SUM(H6:H11)</f>
        <v>0.12479262717785317</v>
      </c>
      <c r="I5" s="463" t="s">
        <v>211</v>
      </c>
      <c r="J5" s="463" t="s">
        <v>211</v>
      </c>
      <c r="K5" s="463" t="s">
        <v>211</v>
      </c>
      <c r="L5" s="463" t="s">
        <v>211</v>
      </c>
      <c r="M5" s="448">
        <f>SUM(M6:M11)</f>
        <v>3.7128108742843856E-2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1.1753970017876192E-4</v>
      </c>
      <c r="C6" s="449"/>
      <c r="D6" s="962">
        <f>vkm_2011_GW_PW*SUMIFS(TableVerdeelsleutelVkm[CNG],TableVerdeelsleutelVkm[Voertuigtype],"Lichte voertuigen")*SUMIFS(TableECFTransport[EnergieConsumptieFactor (PJ per km)],TableECFTransport[Index],CONCATENATE($A6,"_CNG_CNG"))</f>
        <v>3.525516388847616E-4</v>
      </c>
      <c r="E6" s="962">
        <f>vkm_2011_GW_PW*SUMIFS(TableVerdeelsleutelVkm[LPG],TableVerdeelsleutelVkm[Voertuigtype],"Lichte voertuigen")*SUMIFS(TableECFTransport[EnergieConsumptieFactor (PJ per km)],TableECFTransport[Index],CONCATENATE($A6,"_LPG_LPG"))</f>
        <v>4.8163618026378049E-4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0.12452903767055046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4.0091678760816214E-2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8.4654654776950746E-3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7.7335186543933856E-2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2.3566070824081237E-5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4.5192115100935138E-3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1.0338055723841332E-4</v>
      </c>
      <c r="C8" s="449"/>
      <c r="D8" s="451">
        <f>vkm_2011_NGW_PW*SUMIFS(TableVerdeelsleutelVkm[CNG],TableVerdeelsleutelVkm[Voertuigtype],"Lichte voertuigen")*SUMIFS(TableECFTransport[EnergieConsumptieFactor (PJ per km)],TableECFTransport[Index],CONCATENATE($A8,"_CNG_CNG"))</f>
        <v>5.5132986825760669E-4</v>
      </c>
      <c r="E8" s="451">
        <f>vkm_2011_NGW_PW*SUMIFS(TableVerdeelsleutelVkm[LPG],TableVerdeelsleutelVkm[Voertuigtype],"Lichte voertuigen")*SUMIFS(TableECFTransport[EnergieConsumptieFactor (PJ per km)],TableECFTransport[Index],CONCATENATE($A8,"_LPG_LPG"))</f>
        <v>6.9754477387744718E-4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0.16807000868980349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6.0927227483959935E-2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1.1627656368792075E-2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5.6515000689877845E-2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1.6212658322303985E-5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3.3025190463961138E-3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6.3798074821884055E-5</v>
      </c>
      <c r="C10" s="449"/>
      <c r="D10" s="451">
        <f>vkm_2011_SW_PW*SUMIFS(TableVerdeelsleutelVkm[CNG],TableVerdeelsleutelVkm[Voertuigtype],"Lichte voertuigen")*SUMIFS(TableECFTransport[EnergieConsumptieFactor (PJ per km)],TableECFTransport[Index],CONCATENATE($A10,"_CNG_CNG"))</f>
        <v>2.0016826226552061E-4</v>
      </c>
      <c r="E10" s="451">
        <f>vkm_2011_SW_PW*SUMIFS(TableVerdeelsleutelVkm[LPG],TableVerdeelsleutelVkm[Voertuigtype],"Lichte voertuigen")*SUMIFS(TableECFTransport[EnergieConsumptieFactor (PJ per km)],TableECFTransport[Index],CONCATENATE($A10,"_LPG_LPG"))</f>
        <v>3.4055917068051192E-4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7.849966044594936E-2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2.3711850157439571E-2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5.2900849729910484E-3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6.7134596088766221E-2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2.2092046491069266E-5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3.9231713668760335E-3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79.088425621960909</v>
      </c>
      <c r="C14" s="21"/>
      <c r="D14" s="21">
        <f t="shared" ref="D14:M14" si="0">((D5)*10^9/3600)+D12</f>
        <v>306.68049150219133</v>
      </c>
      <c r="E14" s="21">
        <f t="shared" si="0"/>
        <v>422.15003467270543</v>
      </c>
      <c r="F14" s="21"/>
      <c r="G14" s="21">
        <f t="shared" si="0"/>
        <v>158912.08059135589</v>
      </c>
      <c r="H14" s="21">
        <f t="shared" si="0"/>
        <v>34664.618660514767</v>
      </c>
      <c r="I14" s="21"/>
      <c r="J14" s="21"/>
      <c r="K14" s="21"/>
      <c r="L14" s="21"/>
      <c r="M14" s="21">
        <f t="shared" si="0"/>
        <v>10313.36353967885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0.18152486507081197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14.356515789689402</v>
      </c>
      <c r="C18" s="23"/>
      <c r="D18" s="23">
        <f t="shared" ref="D18:M18" si="1">D14*D16</f>
        <v>61.94945928344265</v>
      </c>
      <c r="E18" s="23">
        <f t="shared" si="1"/>
        <v>95.828057870704143</v>
      </c>
      <c r="F18" s="23"/>
      <c r="G18" s="23">
        <f t="shared" si="1"/>
        <v>42429.525517892027</v>
      </c>
      <c r="H18" s="23">
        <f t="shared" si="1"/>
        <v>8631.4900464681778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2.2856489248342777E-3</v>
      </c>
      <c r="H50" s="321">
        <f t="shared" si="2"/>
        <v>0</v>
      </c>
      <c r="I50" s="321">
        <f t="shared" si="2"/>
        <v>0</v>
      </c>
      <c r="J50" s="321">
        <f t="shared" si="2"/>
        <v>0</v>
      </c>
      <c r="K50" s="321">
        <f t="shared" si="2"/>
        <v>0</v>
      </c>
      <c r="L50" s="321">
        <f t="shared" si="2"/>
        <v>0</v>
      </c>
      <c r="M50" s="321">
        <f t="shared" si="2"/>
        <v>1.2981476875881999E-4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2.2856489248342777E-3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1.2981476875881999E-4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634.90247912063262</v>
      </c>
      <c r="H54" s="21">
        <f t="shared" si="3"/>
        <v>0</v>
      </c>
      <c r="I54" s="21">
        <f t="shared" si="3"/>
        <v>0</v>
      </c>
      <c r="J54" s="21">
        <f t="shared" si="3"/>
        <v>0</v>
      </c>
      <c r="K54" s="21">
        <f t="shared" si="3"/>
        <v>0</v>
      </c>
      <c r="L54" s="21">
        <f t="shared" si="3"/>
        <v>0</v>
      </c>
      <c r="M54" s="21">
        <f t="shared" si="3"/>
        <v>36.059657988561106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0.18152486507081197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169.51896192520891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21701.65468675677</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7893.2940421517505</v>
      </c>
      <c r="C6" s="1204"/>
      <c r="D6" s="1189"/>
      <c r="E6" s="1189"/>
      <c r="F6" s="1207"/>
      <c r="G6" s="1210"/>
      <c r="H6" s="1201"/>
      <c r="I6" s="1189"/>
      <c r="J6" s="1189"/>
      <c r="K6" s="1189"/>
      <c r="L6" s="1193"/>
      <c r="M6" s="575"/>
      <c r="N6" s="1167"/>
      <c r="O6" s="1168"/>
      <c r="Q6" s="573"/>
      <c r="R6" s="1155"/>
      <c r="S6" s="1155"/>
    </row>
    <row r="7" spans="1:19" s="563" customFormat="1">
      <c r="A7" s="576" t="s">
        <v>252</v>
      </c>
      <c r="B7" s="577">
        <f>N57</f>
        <v>3753</v>
      </c>
      <c r="C7" s="578">
        <f>B100</f>
        <v>4415.2941176470586</v>
      </c>
      <c r="D7" s="579"/>
      <c r="E7" s="579">
        <f>E100</f>
        <v>0</v>
      </c>
      <c r="F7" s="580"/>
      <c r="G7" s="581"/>
      <c r="H7" s="579">
        <f>I100</f>
        <v>0</v>
      </c>
      <c r="I7" s="579">
        <f>G100+F100</f>
        <v>0</v>
      </c>
      <c r="J7" s="579">
        <f>H100+D100+C100</f>
        <v>0</v>
      </c>
      <c r="K7" s="579"/>
      <c r="L7" s="582"/>
      <c r="M7" s="583">
        <f>C7*$C$11+D7*$D$11+E7*$E$11+F7*$F$11+G7*$G$11+H7*$H$11+I7*$I$11+J7*$J$11</f>
        <v>891.88941176470587</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33347.948728908523</v>
      </c>
      <c r="C9" s="594">
        <f t="shared" ref="C9:L9" si="0">SUM(C7:C8)</f>
        <v>4415.2941176470586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891.88941176470587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5361.4285714285716</v>
      </c>
      <c r="C16" s="610">
        <f>B101</f>
        <v>6307.5630252100837</v>
      </c>
      <c r="D16" s="611"/>
      <c r="E16" s="611">
        <f>E101</f>
        <v>0</v>
      </c>
      <c r="F16" s="612"/>
      <c r="G16" s="613"/>
      <c r="H16" s="610">
        <f>I101</f>
        <v>0</v>
      </c>
      <c r="I16" s="611">
        <f>G101+F101</f>
        <v>0</v>
      </c>
      <c r="J16" s="611">
        <f>H101+D101+C101</f>
        <v>0</v>
      </c>
      <c r="K16" s="611"/>
      <c r="L16" s="614"/>
      <c r="M16" s="615">
        <f>C16*$C$21+E16*$E$21+H16*$H$21+I16*$I$21+J16*$J$21+D16*$D$21+F16*$F$21+G16*$G$21+K16*$K$21+L16*$L$21</f>
        <v>1274.127731092437</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5361.4285714285716</v>
      </c>
      <c r="C19" s="593">
        <f>SUM(C16:C18)</f>
        <v>6307.5630252100837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1274.127731092437</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36008</v>
      </c>
      <c r="C27" s="851">
        <v>8870</v>
      </c>
      <c r="D27" s="672" t="s">
        <v>809</v>
      </c>
      <c r="E27" s="671" t="s">
        <v>810</v>
      </c>
      <c r="F27" s="671" t="s">
        <v>811</v>
      </c>
      <c r="G27" s="671" t="s">
        <v>812</v>
      </c>
      <c r="H27" s="671" t="s">
        <v>813</v>
      </c>
      <c r="I27" s="671" t="s">
        <v>814</v>
      </c>
      <c r="J27" s="850">
        <v>41264</v>
      </c>
      <c r="K27" s="850">
        <v>41689</v>
      </c>
      <c r="L27" s="671" t="s">
        <v>815</v>
      </c>
      <c r="M27" s="671">
        <v>834</v>
      </c>
      <c r="N27" s="671">
        <v>3753</v>
      </c>
      <c r="O27" s="671">
        <v>5361.4285714285716</v>
      </c>
      <c r="P27" s="671">
        <v>10722.857142857143</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834</v>
      </c>
      <c r="N57" s="629">
        <f>SUM(N27:N56)</f>
        <v>3753</v>
      </c>
      <c r="O57" s="629">
        <f t="shared" ref="O57:W57" si="2">SUM(O27:O56)</f>
        <v>5361.4285714285716</v>
      </c>
      <c r="P57" s="629">
        <f t="shared" si="2"/>
        <v>10722.857142857143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834</v>
      </c>
      <c r="N60" s="634">
        <f t="shared" ref="N60:W60" si="4">SUMIF($Z$27:$Z$56,"landbouw",N27:N56)</f>
        <v>3753</v>
      </c>
      <c r="O60" s="634">
        <f t="shared" si="4"/>
        <v>5361.4285714285716</v>
      </c>
      <c r="P60" s="634">
        <f t="shared" si="4"/>
        <v>10722.857142857143</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4415.2941176470586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6307.5630252100837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31671.13565</v>
      </c>
      <c r="D10" s="718">
        <f ca="1">tertiair!C16</f>
        <v>0</v>
      </c>
      <c r="E10" s="718">
        <f ca="1">tertiair!D16</f>
        <v>41727.201099154052</v>
      </c>
      <c r="F10" s="718">
        <f>tertiair!E16</f>
        <v>596.10127865576101</v>
      </c>
      <c r="G10" s="718">
        <f ca="1">tertiair!F16</f>
        <v>5340.2164075388537</v>
      </c>
      <c r="H10" s="718">
        <f>tertiair!G16</f>
        <v>0</v>
      </c>
      <c r="I10" s="718">
        <f>tertiair!H16</f>
        <v>0</v>
      </c>
      <c r="J10" s="718">
        <f>tertiair!I16</f>
        <v>0</v>
      </c>
      <c r="K10" s="718">
        <f>tertiair!J16</f>
        <v>5.4531506740917661E-2</v>
      </c>
      <c r="L10" s="718">
        <f>tertiair!K16</f>
        <v>0</v>
      </c>
      <c r="M10" s="718">
        <f ca="1">tertiair!L16</f>
        <v>0</v>
      </c>
      <c r="N10" s="718">
        <f>tertiair!M16</f>
        <v>0</v>
      </c>
      <c r="O10" s="718">
        <f ca="1">tertiair!N16</f>
        <v>2188.1192090310528</v>
      </c>
      <c r="P10" s="718">
        <f>tertiair!O16</f>
        <v>4.6900000000000004</v>
      </c>
      <c r="Q10" s="719">
        <f>tertiair!P16</f>
        <v>76.266666666666666</v>
      </c>
      <c r="R10" s="721">
        <f ca="1">SUM(C10:Q10)</f>
        <v>81603.784842553127</v>
      </c>
      <c r="S10" s="67"/>
    </row>
    <row r="11" spans="1:19" s="474" customFormat="1">
      <c r="A11" s="870" t="s">
        <v>225</v>
      </c>
      <c r="B11" s="875"/>
      <c r="C11" s="718">
        <f>huishoudens!B8</f>
        <v>42909.7328541803</v>
      </c>
      <c r="D11" s="718">
        <f>huishoudens!C8</f>
        <v>0</v>
      </c>
      <c r="E11" s="718">
        <f>huishoudens!D8</f>
        <v>128860.30476376408</v>
      </c>
      <c r="F11" s="718">
        <f>huishoudens!E8</f>
        <v>6633.2748173368373</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32381.339065127027</v>
      </c>
      <c r="P11" s="718">
        <f>huishoudens!O8</f>
        <v>586.25</v>
      </c>
      <c r="Q11" s="719">
        <f>huishoudens!P8</f>
        <v>629.20000000000005</v>
      </c>
      <c r="R11" s="721">
        <f>SUM(C11:Q11)</f>
        <v>212000.10150040826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86537.942649999983</v>
      </c>
      <c r="D13" s="718">
        <f>industrie!C18</f>
        <v>0</v>
      </c>
      <c r="E13" s="718">
        <f>industrie!D18</f>
        <v>46688.232923798365</v>
      </c>
      <c r="F13" s="718">
        <f>industrie!E18</f>
        <v>4407.8987929613531</v>
      </c>
      <c r="G13" s="718">
        <f>industrie!F18</f>
        <v>16632.044050848053</v>
      </c>
      <c r="H13" s="718">
        <f>industrie!G18</f>
        <v>0</v>
      </c>
      <c r="I13" s="718">
        <f>industrie!H18</f>
        <v>0</v>
      </c>
      <c r="J13" s="718">
        <f>industrie!I18</f>
        <v>0</v>
      </c>
      <c r="K13" s="718">
        <f>industrie!J18</f>
        <v>0.33966070130844117</v>
      </c>
      <c r="L13" s="718">
        <f>industrie!K18</f>
        <v>0</v>
      </c>
      <c r="M13" s="718">
        <f>industrie!L18</f>
        <v>0</v>
      </c>
      <c r="N13" s="718">
        <f>industrie!M18</f>
        <v>0</v>
      </c>
      <c r="O13" s="718">
        <f>industrie!N18</f>
        <v>9545.4674279467163</v>
      </c>
      <c r="P13" s="718">
        <f>industrie!O18</f>
        <v>0</v>
      </c>
      <c r="Q13" s="719">
        <f>industrie!P18</f>
        <v>0</v>
      </c>
      <c r="R13" s="721">
        <f>SUM(C13:Q13)</f>
        <v>163811.92550625579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161118.81115418026</v>
      </c>
      <c r="D15" s="723">
        <f t="shared" ref="D15:Q15" ca="1" si="0">SUM(D9:D14)</f>
        <v>0</v>
      </c>
      <c r="E15" s="723">
        <f t="shared" ca="1" si="0"/>
        <v>217275.73878671648</v>
      </c>
      <c r="F15" s="723">
        <f t="shared" si="0"/>
        <v>11637.274888953951</v>
      </c>
      <c r="G15" s="723">
        <f t="shared" ca="1" si="0"/>
        <v>21972.260458386907</v>
      </c>
      <c r="H15" s="723">
        <f t="shared" si="0"/>
        <v>0</v>
      </c>
      <c r="I15" s="723">
        <f t="shared" si="0"/>
        <v>0</v>
      </c>
      <c r="J15" s="723">
        <f t="shared" si="0"/>
        <v>0</v>
      </c>
      <c r="K15" s="723">
        <f t="shared" si="0"/>
        <v>0.39419220804935884</v>
      </c>
      <c r="L15" s="723">
        <f t="shared" si="0"/>
        <v>0</v>
      </c>
      <c r="M15" s="723">
        <f t="shared" ca="1" si="0"/>
        <v>0</v>
      </c>
      <c r="N15" s="723">
        <f t="shared" si="0"/>
        <v>0</v>
      </c>
      <c r="O15" s="723">
        <f t="shared" ca="1" si="0"/>
        <v>44114.925702104796</v>
      </c>
      <c r="P15" s="723">
        <f t="shared" si="0"/>
        <v>590.94000000000005</v>
      </c>
      <c r="Q15" s="724">
        <f t="shared" si="0"/>
        <v>705.4666666666667</v>
      </c>
      <c r="R15" s="725">
        <f ca="1">SUM(R9:R14)</f>
        <v>457415.81184921716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634.90247912063262</v>
      </c>
      <c r="I18" s="718">
        <f>transport!H54</f>
        <v>0</v>
      </c>
      <c r="J18" s="718">
        <f>transport!I54</f>
        <v>0</v>
      </c>
      <c r="K18" s="718">
        <f>transport!J54</f>
        <v>0</v>
      </c>
      <c r="L18" s="718">
        <f>transport!K54</f>
        <v>0</v>
      </c>
      <c r="M18" s="718">
        <f>transport!L54</f>
        <v>0</v>
      </c>
      <c r="N18" s="718">
        <f>transport!M54</f>
        <v>36.059657988561106</v>
      </c>
      <c r="O18" s="718">
        <f>transport!N54</f>
        <v>0</v>
      </c>
      <c r="P18" s="718">
        <f>transport!O54</f>
        <v>0</v>
      </c>
      <c r="Q18" s="719">
        <f>transport!P54</f>
        <v>0</v>
      </c>
      <c r="R18" s="721">
        <f>SUM(C18:Q18)</f>
        <v>670.96213710919369</v>
      </c>
      <c r="S18" s="67"/>
    </row>
    <row r="19" spans="1:19" s="474" customFormat="1" ht="15" thickBot="1">
      <c r="A19" s="870" t="s">
        <v>307</v>
      </c>
      <c r="B19" s="875"/>
      <c r="C19" s="727">
        <f>transport!B14</f>
        <v>79.088425621960909</v>
      </c>
      <c r="D19" s="727">
        <f>transport!C14</f>
        <v>0</v>
      </c>
      <c r="E19" s="727">
        <f>transport!D14</f>
        <v>306.68049150219133</v>
      </c>
      <c r="F19" s="727">
        <f>transport!E14</f>
        <v>422.15003467270543</v>
      </c>
      <c r="G19" s="727">
        <f>transport!F14</f>
        <v>0</v>
      </c>
      <c r="H19" s="727">
        <f>transport!G14</f>
        <v>158912.08059135589</v>
      </c>
      <c r="I19" s="727">
        <f>transport!H14</f>
        <v>34664.618660514767</v>
      </c>
      <c r="J19" s="727">
        <f>transport!I14</f>
        <v>0</v>
      </c>
      <c r="K19" s="727">
        <f>transport!J14</f>
        <v>0</v>
      </c>
      <c r="L19" s="727">
        <f>transport!K14</f>
        <v>0</v>
      </c>
      <c r="M19" s="727">
        <f>transport!L14</f>
        <v>0</v>
      </c>
      <c r="N19" s="727">
        <f>transport!M14</f>
        <v>10313.36353967885</v>
      </c>
      <c r="O19" s="727">
        <f>transport!N14</f>
        <v>0</v>
      </c>
      <c r="P19" s="727">
        <f>transport!O14</f>
        <v>0</v>
      </c>
      <c r="Q19" s="728">
        <f>transport!P14</f>
        <v>0</v>
      </c>
      <c r="R19" s="729">
        <f>SUM(C19:Q19)</f>
        <v>204697.98174334638</v>
      </c>
      <c r="S19" s="67"/>
    </row>
    <row r="20" spans="1:19" s="474" customFormat="1" ht="15.75" thickBot="1">
      <c r="A20" s="730" t="s">
        <v>230</v>
      </c>
      <c r="B20" s="878"/>
      <c r="C20" s="873">
        <f>SUM(C17:C19)</f>
        <v>79.088425621960909</v>
      </c>
      <c r="D20" s="731">
        <f t="shared" ref="D20:R20" si="1">SUM(D17:D19)</f>
        <v>0</v>
      </c>
      <c r="E20" s="731">
        <f t="shared" si="1"/>
        <v>306.68049150219133</v>
      </c>
      <c r="F20" s="731">
        <f t="shared" si="1"/>
        <v>422.15003467270543</v>
      </c>
      <c r="G20" s="731">
        <f t="shared" si="1"/>
        <v>0</v>
      </c>
      <c r="H20" s="731">
        <f t="shared" si="1"/>
        <v>159546.98307047653</v>
      </c>
      <c r="I20" s="731">
        <f t="shared" si="1"/>
        <v>34664.618660514767</v>
      </c>
      <c r="J20" s="731">
        <f t="shared" si="1"/>
        <v>0</v>
      </c>
      <c r="K20" s="731">
        <f t="shared" si="1"/>
        <v>0</v>
      </c>
      <c r="L20" s="731">
        <f t="shared" si="1"/>
        <v>0</v>
      </c>
      <c r="M20" s="731">
        <f t="shared" si="1"/>
        <v>0</v>
      </c>
      <c r="N20" s="731">
        <f t="shared" si="1"/>
        <v>10349.423197667411</v>
      </c>
      <c r="O20" s="731">
        <f t="shared" si="1"/>
        <v>0</v>
      </c>
      <c r="P20" s="731">
        <f t="shared" si="1"/>
        <v>0</v>
      </c>
      <c r="Q20" s="732">
        <f t="shared" si="1"/>
        <v>0</v>
      </c>
      <c r="R20" s="733">
        <f t="shared" si="1"/>
        <v>205368.94388045557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2905.58655</v>
      </c>
      <c r="D22" s="727">
        <f>+landbouw!C8</f>
        <v>5361.4285714285716</v>
      </c>
      <c r="E22" s="727">
        <f>+landbouw!D8</f>
        <v>0</v>
      </c>
      <c r="F22" s="727">
        <f>+landbouw!E8</f>
        <v>85.404063390153212</v>
      </c>
      <c r="G22" s="727">
        <f>+landbouw!F8</f>
        <v>12104.51655764391</v>
      </c>
      <c r="H22" s="727">
        <f>+landbouw!G8</f>
        <v>0</v>
      </c>
      <c r="I22" s="727">
        <f>+landbouw!H8</f>
        <v>0</v>
      </c>
      <c r="J22" s="727">
        <f>+landbouw!I8</f>
        <v>0</v>
      </c>
      <c r="K22" s="727">
        <f>+landbouw!J8</f>
        <v>420.95709290957376</v>
      </c>
      <c r="L22" s="727">
        <f>+landbouw!K8</f>
        <v>0</v>
      </c>
      <c r="M22" s="727">
        <f>+landbouw!L8</f>
        <v>0</v>
      </c>
      <c r="N22" s="727">
        <f>+landbouw!M8</f>
        <v>0</v>
      </c>
      <c r="O22" s="727">
        <f>+landbouw!N8</f>
        <v>0</v>
      </c>
      <c r="P22" s="727">
        <f>+landbouw!O8</f>
        <v>0</v>
      </c>
      <c r="Q22" s="728">
        <f>+landbouw!P8</f>
        <v>0</v>
      </c>
      <c r="R22" s="729">
        <f>SUM(C22:Q22)</f>
        <v>20877.892835372211</v>
      </c>
      <c r="S22" s="67"/>
    </row>
    <row r="23" spans="1:19" s="474" customFormat="1" ht="17.25" thickTop="1" thickBot="1">
      <c r="A23" s="734" t="s">
        <v>116</v>
      </c>
      <c r="B23" s="864"/>
      <c r="C23" s="735">
        <f ca="1">C20+C15+C22</f>
        <v>164103.48612980224</v>
      </c>
      <c r="D23" s="735">
        <f t="shared" ref="D23:Q23" ca="1" si="2">D20+D15+D22</f>
        <v>5361.4285714285716</v>
      </c>
      <c r="E23" s="735">
        <f t="shared" ca="1" si="2"/>
        <v>217582.41927821867</v>
      </c>
      <c r="F23" s="735">
        <f t="shared" si="2"/>
        <v>12144.82898701681</v>
      </c>
      <c r="G23" s="735">
        <f t="shared" ca="1" si="2"/>
        <v>34076.777016030814</v>
      </c>
      <c r="H23" s="735">
        <f t="shared" si="2"/>
        <v>159546.98307047653</v>
      </c>
      <c r="I23" s="735">
        <f t="shared" si="2"/>
        <v>34664.618660514767</v>
      </c>
      <c r="J23" s="735">
        <f t="shared" si="2"/>
        <v>0</v>
      </c>
      <c r="K23" s="735">
        <f t="shared" si="2"/>
        <v>421.35128511762309</v>
      </c>
      <c r="L23" s="735">
        <f t="shared" si="2"/>
        <v>0</v>
      </c>
      <c r="M23" s="735">
        <f t="shared" ca="1" si="2"/>
        <v>0</v>
      </c>
      <c r="N23" s="735">
        <f t="shared" si="2"/>
        <v>10349.423197667411</v>
      </c>
      <c r="O23" s="735">
        <f t="shared" ca="1" si="2"/>
        <v>44114.925702104796</v>
      </c>
      <c r="P23" s="735">
        <f t="shared" si="2"/>
        <v>590.94000000000005</v>
      </c>
      <c r="Q23" s="736">
        <f t="shared" si="2"/>
        <v>705.4666666666667</v>
      </c>
      <c r="R23" s="737">
        <f ca="1">R20+R15+R22</f>
        <v>683662.64856504498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5749.0986255056332</v>
      </c>
      <c r="D36" s="718">
        <f ca="1">tertiair!C20</f>
        <v>0</v>
      </c>
      <c r="E36" s="718">
        <f ca="1">tertiair!D20</f>
        <v>8428.8946220291182</v>
      </c>
      <c r="F36" s="718">
        <f>tertiair!E20</f>
        <v>135.31499025485775</v>
      </c>
      <c r="G36" s="718">
        <f ca="1">tertiair!F20</f>
        <v>1425.8377808128739</v>
      </c>
      <c r="H36" s="718">
        <f>tertiair!G20</f>
        <v>0</v>
      </c>
      <c r="I36" s="718">
        <f>tertiair!H20</f>
        <v>0</v>
      </c>
      <c r="J36" s="718">
        <f>tertiair!I20</f>
        <v>0</v>
      </c>
      <c r="K36" s="718">
        <f>tertiair!J20</f>
        <v>1.9304153386284852E-2</v>
      </c>
      <c r="L36" s="718">
        <f>tertiair!K20</f>
        <v>0</v>
      </c>
      <c r="M36" s="718">
        <f ca="1">tertiair!L20</f>
        <v>0</v>
      </c>
      <c r="N36" s="718">
        <f>tertiair!M20</f>
        <v>0</v>
      </c>
      <c r="O36" s="718">
        <f ca="1">tertiair!N20</f>
        <v>0</v>
      </c>
      <c r="P36" s="718">
        <f>tertiair!O20</f>
        <v>0</v>
      </c>
      <c r="Q36" s="828">
        <f>tertiair!P20</f>
        <v>0</v>
      </c>
      <c r="R36" s="917">
        <f ca="1">SUM(C36:Q36)</f>
        <v>15739.165322755869</v>
      </c>
    </row>
    <row r="37" spans="1:18">
      <c r="A37" s="885" t="s">
        <v>225</v>
      </c>
      <c r="B37" s="892"/>
      <c r="C37" s="718">
        <f ca="1">huishoudens!B12</f>
        <v>7789.1834665796669</v>
      </c>
      <c r="D37" s="718">
        <f ca="1">huishoudens!C12</f>
        <v>0</v>
      </c>
      <c r="E37" s="718">
        <f>huishoudens!D12</f>
        <v>26029.781562280346</v>
      </c>
      <c r="F37" s="718">
        <f>huishoudens!E12</f>
        <v>1505.753383535462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35324.718412395472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15708.788363046911</v>
      </c>
      <c r="D39" s="718">
        <f ca="1">industrie!C22</f>
        <v>0</v>
      </c>
      <c r="E39" s="718">
        <f>industrie!D22</f>
        <v>9431.0230506072712</v>
      </c>
      <c r="F39" s="718">
        <f>industrie!E22</f>
        <v>1000.5930260022272</v>
      </c>
      <c r="G39" s="718">
        <f>industrie!F22</f>
        <v>4440.7557615764308</v>
      </c>
      <c r="H39" s="718">
        <f>industrie!G22</f>
        <v>0</v>
      </c>
      <c r="I39" s="718">
        <f>industrie!H22</f>
        <v>0</v>
      </c>
      <c r="J39" s="718">
        <f>industrie!I22</f>
        <v>0</v>
      </c>
      <c r="K39" s="718">
        <f>industrie!J22</f>
        <v>0.12023988826318817</v>
      </c>
      <c r="L39" s="718">
        <f>industrie!K22</f>
        <v>0</v>
      </c>
      <c r="M39" s="718">
        <f>industrie!L22</f>
        <v>0</v>
      </c>
      <c r="N39" s="718">
        <f>industrie!M22</f>
        <v>0</v>
      </c>
      <c r="O39" s="718">
        <f>industrie!N22</f>
        <v>0</v>
      </c>
      <c r="P39" s="718">
        <f>industrie!O22</f>
        <v>0</v>
      </c>
      <c r="Q39" s="828">
        <f>industrie!P22</f>
        <v>0</v>
      </c>
      <c r="R39" s="918">
        <f ca="1">SUM(C39:Q39)</f>
        <v>30581.280441121107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29247.070455132212</v>
      </c>
      <c r="D41" s="763">
        <f t="shared" ref="D41:R41" ca="1" si="4">SUM(D35:D40)</f>
        <v>0</v>
      </c>
      <c r="E41" s="763">
        <f t="shared" ca="1" si="4"/>
        <v>43889.699234916734</v>
      </c>
      <c r="F41" s="763">
        <f t="shared" si="4"/>
        <v>2641.6613997925469</v>
      </c>
      <c r="G41" s="763">
        <f t="shared" ca="1" si="4"/>
        <v>5866.5935423893043</v>
      </c>
      <c r="H41" s="763">
        <f t="shared" si="4"/>
        <v>0</v>
      </c>
      <c r="I41" s="763">
        <f t="shared" si="4"/>
        <v>0</v>
      </c>
      <c r="J41" s="763">
        <f t="shared" si="4"/>
        <v>0</v>
      </c>
      <c r="K41" s="763">
        <f t="shared" si="4"/>
        <v>0.13954404164947301</v>
      </c>
      <c r="L41" s="763">
        <f t="shared" si="4"/>
        <v>0</v>
      </c>
      <c r="M41" s="763">
        <f t="shared" ca="1" si="4"/>
        <v>0</v>
      </c>
      <c r="N41" s="763">
        <f t="shared" si="4"/>
        <v>0</v>
      </c>
      <c r="O41" s="763">
        <f t="shared" ca="1" si="4"/>
        <v>0</v>
      </c>
      <c r="P41" s="763">
        <f t="shared" si="4"/>
        <v>0</v>
      </c>
      <c r="Q41" s="764">
        <f t="shared" si="4"/>
        <v>0</v>
      </c>
      <c r="R41" s="765">
        <f t="shared" ca="1" si="4"/>
        <v>81645.164176272447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169.51896192520891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169.51896192520891</v>
      </c>
    </row>
    <row r="45" spans="1:18" ht="15" thickBot="1">
      <c r="A45" s="888" t="s">
        <v>307</v>
      </c>
      <c r="B45" s="898"/>
      <c r="C45" s="727">
        <f ca="1">transport!B18</f>
        <v>14.356515789689402</v>
      </c>
      <c r="D45" s="727">
        <f>transport!C18</f>
        <v>0</v>
      </c>
      <c r="E45" s="727">
        <f>transport!D18</f>
        <v>61.94945928344265</v>
      </c>
      <c r="F45" s="727">
        <f>transport!E18</f>
        <v>95.828057870704143</v>
      </c>
      <c r="G45" s="727">
        <f>transport!F18</f>
        <v>0</v>
      </c>
      <c r="H45" s="727">
        <f>transport!G18</f>
        <v>42429.525517892027</v>
      </c>
      <c r="I45" s="727">
        <f>transport!H18</f>
        <v>8631.4900464681778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51233.149597304044</v>
      </c>
    </row>
    <row r="46" spans="1:18" ht="15.75" thickBot="1">
      <c r="A46" s="886" t="s">
        <v>230</v>
      </c>
      <c r="B46" s="899"/>
      <c r="C46" s="763">
        <f t="shared" ref="C46:R46" ca="1" si="5">SUM(C43:C45)</f>
        <v>14.356515789689402</v>
      </c>
      <c r="D46" s="763">
        <f t="shared" ca="1" si="5"/>
        <v>0</v>
      </c>
      <c r="E46" s="763">
        <f t="shared" si="5"/>
        <v>61.94945928344265</v>
      </c>
      <c r="F46" s="763">
        <f t="shared" si="5"/>
        <v>95.828057870704143</v>
      </c>
      <c r="G46" s="763">
        <f t="shared" si="5"/>
        <v>0</v>
      </c>
      <c r="H46" s="763">
        <f t="shared" si="5"/>
        <v>42599.044479817239</v>
      </c>
      <c r="I46" s="763">
        <f t="shared" si="5"/>
        <v>8631.4900464681778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51402.668559229256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527.43620644031603</v>
      </c>
      <c r="D48" s="718">
        <f ca="1">+landbouw!C12</f>
        <v>1274.127731092437</v>
      </c>
      <c r="E48" s="718">
        <f>+landbouw!D12</f>
        <v>0</v>
      </c>
      <c r="F48" s="718">
        <f>+landbouw!E12</f>
        <v>19.386722389564781</v>
      </c>
      <c r="G48" s="718">
        <f>+landbouw!F12</f>
        <v>3231.9059208909243</v>
      </c>
      <c r="H48" s="718">
        <f>+landbouw!G12</f>
        <v>0</v>
      </c>
      <c r="I48" s="718">
        <f>+landbouw!H12</f>
        <v>0</v>
      </c>
      <c r="J48" s="718">
        <f>+landbouw!I12</f>
        <v>0</v>
      </c>
      <c r="K48" s="718">
        <f>+landbouw!J12</f>
        <v>149.01881088998911</v>
      </c>
      <c r="L48" s="718">
        <f>+landbouw!K12</f>
        <v>0</v>
      </c>
      <c r="M48" s="718">
        <f>+landbouw!L12</f>
        <v>0</v>
      </c>
      <c r="N48" s="718">
        <f>+landbouw!M12</f>
        <v>0</v>
      </c>
      <c r="O48" s="718">
        <f>+landbouw!N12</f>
        <v>0</v>
      </c>
      <c r="P48" s="718">
        <f>+landbouw!O12</f>
        <v>0</v>
      </c>
      <c r="Q48" s="719">
        <f>+landbouw!P12</f>
        <v>0</v>
      </c>
      <c r="R48" s="761">
        <f ca="1">SUM(C48:Q48)</f>
        <v>5201.8753917032318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29788.863177362218</v>
      </c>
      <c r="D53" s="773">
        <f t="shared" ref="D53:Q53" ca="1" si="6">D41+D46+D48</f>
        <v>1274.127731092437</v>
      </c>
      <c r="E53" s="773">
        <f t="shared" ca="1" si="6"/>
        <v>43951.648694200179</v>
      </c>
      <c r="F53" s="773">
        <f t="shared" si="6"/>
        <v>2756.8761800528159</v>
      </c>
      <c r="G53" s="773">
        <f t="shared" ca="1" si="6"/>
        <v>9098.4994632802282</v>
      </c>
      <c r="H53" s="773">
        <f t="shared" si="6"/>
        <v>42599.044479817239</v>
      </c>
      <c r="I53" s="773">
        <f t="shared" si="6"/>
        <v>8631.4900464681778</v>
      </c>
      <c r="J53" s="773">
        <f t="shared" si="6"/>
        <v>0</v>
      </c>
      <c r="K53" s="773">
        <f t="shared" si="6"/>
        <v>149.1583549316386</v>
      </c>
      <c r="L53" s="773">
        <f t="shared" si="6"/>
        <v>0</v>
      </c>
      <c r="M53" s="773">
        <f t="shared" ca="1" si="6"/>
        <v>0</v>
      </c>
      <c r="N53" s="773">
        <f t="shared" si="6"/>
        <v>0</v>
      </c>
      <c r="O53" s="773">
        <f t="shared" ca="1" si="6"/>
        <v>0</v>
      </c>
      <c r="P53" s="773">
        <f>P41+P46+P48</f>
        <v>0</v>
      </c>
      <c r="Q53" s="774">
        <f t="shared" si="6"/>
        <v>0</v>
      </c>
      <c r="R53" s="775">
        <f ca="1">R41+R46+R48</f>
        <v>138249.70812720494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0.18152486507081197</v>
      </c>
      <c r="D55" s="836">
        <f t="shared" ca="1" si="7"/>
        <v>0.23764705882352941</v>
      </c>
      <c r="E55" s="836">
        <f t="shared" ca="1" si="7"/>
        <v>0.20200000000000004</v>
      </c>
      <c r="F55" s="836">
        <f t="shared" si="7"/>
        <v>0.22700000000000001</v>
      </c>
      <c r="G55" s="836">
        <f t="shared" ca="1" si="7"/>
        <v>0.26700000000000002</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21701.65468675677</v>
      </c>
      <c r="C64" s="795">
        <f>'lokale energieproductie'!B4</f>
        <v>21701.65468675677</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7893.2940421517505</v>
      </c>
      <c r="C66" s="795">
        <f>'lokale energieproductie'!B6</f>
        <v>7893.2940421517505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3753</v>
      </c>
      <c r="C67" s="794">
        <f>B67*IFERROR(SUM(J67:L67)/SUM(D67:M67),0)</f>
        <v>0</v>
      </c>
      <c r="D67" s="826">
        <f>'lokale energieproductie'!C7</f>
        <v>4415.2941176470586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891.88941176470587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33347.948728908523</v>
      </c>
      <c r="C69" s="803">
        <f>SUM(C64:C68)</f>
        <v>29594.948728908523</v>
      </c>
      <c r="D69" s="804">
        <f t="shared" ref="D69:M69" si="8">SUM(D67:D68)</f>
        <v>4415.2941176470586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891.88941176470587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5361.4285714285716</v>
      </c>
      <c r="C78" s="817">
        <f>B78*IFERROR(SUM(I78:L78)/SUM(D78:M78),0)</f>
        <v>0</v>
      </c>
      <c r="D78" s="832">
        <f>'lokale energieproductie'!C16</f>
        <v>6307.5630252100837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1274.127731092437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5361.4285714285716</v>
      </c>
      <c r="C81" s="803">
        <f>SUM(C78:C80)</f>
        <v>0</v>
      </c>
      <c r="D81" s="803">
        <f t="shared" ref="D81:P81" si="9">SUM(D78:D80)</f>
        <v>6307.5630252100837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1274.127731092437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42909.7328541803</v>
      </c>
      <c r="C4" s="478">
        <f>huishoudens!C8</f>
        <v>0</v>
      </c>
      <c r="D4" s="478">
        <f>huishoudens!D8</f>
        <v>128860.30476376408</v>
      </c>
      <c r="E4" s="478">
        <f>huishoudens!E8</f>
        <v>6633.2748173368373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32381.339065127027</v>
      </c>
      <c r="O4" s="478">
        <f>huishoudens!O8</f>
        <v>586.25</v>
      </c>
      <c r="P4" s="479">
        <f>huishoudens!P8</f>
        <v>629.20000000000005</v>
      </c>
      <c r="Q4" s="480">
        <f>SUM(B4:P4)</f>
        <v>212000.10150040826</v>
      </c>
    </row>
    <row r="5" spans="1:17">
      <c r="A5" s="477" t="s">
        <v>156</v>
      </c>
      <c r="B5" s="478">
        <f ca="1">tertiair!B16</f>
        <v>29739.016650000001</v>
      </c>
      <c r="C5" s="478">
        <f ca="1">tertiair!C16</f>
        <v>0</v>
      </c>
      <c r="D5" s="478">
        <f ca="1">tertiair!D16</f>
        <v>41727.201099154052</v>
      </c>
      <c r="E5" s="478">
        <f>tertiair!E16</f>
        <v>596.10127865576101</v>
      </c>
      <c r="F5" s="478">
        <f ca="1">tertiair!F16</f>
        <v>5340.2164075388537</v>
      </c>
      <c r="G5" s="478">
        <f>tertiair!G16</f>
        <v>0</v>
      </c>
      <c r="H5" s="478">
        <f>tertiair!H16</f>
        <v>0</v>
      </c>
      <c r="I5" s="478">
        <f>tertiair!I16</f>
        <v>0</v>
      </c>
      <c r="J5" s="478">
        <f>tertiair!J16</f>
        <v>5.4531506740917661E-2</v>
      </c>
      <c r="K5" s="478">
        <f>tertiair!K16</f>
        <v>0</v>
      </c>
      <c r="L5" s="478">
        <f ca="1">tertiair!L16</f>
        <v>0</v>
      </c>
      <c r="M5" s="478">
        <f>tertiair!M16</f>
        <v>0</v>
      </c>
      <c r="N5" s="478">
        <f ca="1">tertiair!N16</f>
        <v>2188.1192090310528</v>
      </c>
      <c r="O5" s="478">
        <f>tertiair!O16</f>
        <v>4.6900000000000004</v>
      </c>
      <c r="P5" s="479">
        <f>tertiair!P16</f>
        <v>76.266666666666666</v>
      </c>
      <c r="Q5" s="477">
        <f t="shared" ref="Q5:Q13" ca="1" si="0">SUM(B5:P5)</f>
        <v>79671.66584255312</v>
      </c>
    </row>
    <row r="6" spans="1:17">
      <c r="A6" s="477" t="s">
        <v>194</v>
      </c>
      <c r="B6" s="478">
        <f>'openbare verlichting'!B8</f>
        <v>1932.1189999999999</v>
      </c>
      <c r="C6" s="478"/>
      <c r="D6" s="478"/>
      <c r="E6" s="478"/>
      <c r="F6" s="478"/>
      <c r="G6" s="478"/>
      <c r="H6" s="478"/>
      <c r="I6" s="478"/>
      <c r="J6" s="478"/>
      <c r="K6" s="478"/>
      <c r="L6" s="478"/>
      <c r="M6" s="478"/>
      <c r="N6" s="478"/>
      <c r="O6" s="478"/>
      <c r="P6" s="479"/>
      <c r="Q6" s="477">
        <f t="shared" si="0"/>
        <v>1932.1189999999999</v>
      </c>
    </row>
    <row r="7" spans="1:17">
      <c r="A7" s="477" t="s">
        <v>112</v>
      </c>
      <c r="B7" s="478">
        <f>landbouw!B8</f>
        <v>2905.58655</v>
      </c>
      <c r="C7" s="478">
        <f>landbouw!C8</f>
        <v>5361.4285714285716</v>
      </c>
      <c r="D7" s="478">
        <f>landbouw!D8</f>
        <v>0</v>
      </c>
      <c r="E7" s="478">
        <f>landbouw!E8</f>
        <v>85.404063390153212</v>
      </c>
      <c r="F7" s="478">
        <f>landbouw!F8</f>
        <v>12104.51655764391</v>
      </c>
      <c r="G7" s="478">
        <f>landbouw!G8</f>
        <v>0</v>
      </c>
      <c r="H7" s="478">
        <f>landbouw!H8</f>
        <v>0</v>
      </c>
      <c r="I7" s="478">
        <f>landbouw!I8</f>
        <v>0</v>
      </c>
      <c r="J7" s="478">
        <f>landbouw!J8</f>
        <v>420.95709290957376</v>
      </c>
      <c r="K7" s="478">
        <f>landbouw!K8</f>
        <v>0</v>
      </c>
      <c r="L7" s="478">
        <f>landbouw!L8</f>
        <v>0</v>
      </c>
      <c r="M7" s="478">
        <f>landbouw!M8</f>
        <v>0</v>
      </c>
      <c r="N7" s="478">
        <f>landbouw!N8</f>
        <v>0</v>
      </c>
      <c r="O7" s="478">
        <f>landbouw!O8</f>
        <v>0</v>
      </c>
      <c r="P7" s="479">
        <f>landbouw!P8</f>
        <v>0</v>
      </c>
      <c r="Q7" s="477">
        <f t="shared" si="0"/>
        <v>20877.892835372211</v>
      </c>
    </row>
    <row r="8" spans="1:17">
      <c r="A8" s="477" t="s">
        <v>635</v>
      </c>
      <c r="B8" s="478">
        <f>industrie!B18</f>
        <v>86537.942649999983</v>
      </c>
      <c r="C8" s="478">
        <f>industrie!C18</f>
        <v>0</v>
      </c>
      <c r="D8" s="478">
        <f>industrie!D18</f>
        <v>46688.232923798365</v>
      </c>
      <c r="E8" s="478">
        <f>industrie!E18</f>
        <v>4407.8987929613531</v>
      </c>
      <c r="F8" s="478">
        <f>industrie!F18</f>
        <v>16632.044050848053</v>
      </c>
      <c r="G8" s="478">
        <f>industrie!G18</f>
        <v>0</v>
      </c>
      <c r="H8" s="478">
        <f>industrie!H18</f>
        <v>0</v>
      </c>
      <c r="I8" s="478">
        <f>industrie!I18</f>
        <v>0</v>
      </c>
      <c r="J8" s="478">
        <f>industrie!J18</f>
        <v>0.33966070130844117</v>
      </c>
      <c r="K8" s="478">
        <f>industrie!K18</f>
        <v>0</v>
      </c>
      <c r="L8" s="478">
        <f>industrie!L18</f>
        <v>0</v>
      </c>
      <c r="M8" s="478">
        <f>industrie!M18</f>
        <v>0</v>
      </c>
      <c r="N8" s="478">
        <f>industrie!N18</f>
        <v>9545.4674279467163</v>
      </c>
      <c r="O8" s="478">
        <f>industrie!O18</f>
        <v>0</v>
      </c>
      <c r="P8" s="479">
        <f>industrie!P18</f>
        <v>0</v>
      </c>
      <c r="Q8" s="477">
        <f t="shared" si="0"/>
        <v>163811.92550625579</v>
      </c>
    </row>
    <row r="9" spans="1:17" s="483" customFormat="1">
      <c r="A9" s="481" t="s">
        <v>561</v>
      </c>
      <c r="B9" s="482">
        <f>transport!B14</f>
        <v>79.088425621960909</v>
      </c>
      <c r="C9" s="482">
        <f>transport!C14</f>
        <v>0</v>
      </c>
      <c r="D9" s="482">
        <f>transport!D14</f>
        <v>306.68049150219133</v>
      </c>
      <c r="E9" s="482">
        <f>transport!E14</f>
        <v>422.15003467270543</v>
      </c>
      <c r="F9" s="482">
        <f>transport!F14</f>
        <v>0</v>
      </c>
      <c r="G9" s="482">
        <f>transport!G14</f>
        <v>158912.08059135589</v>
      </c>
      <c r="H9" s="482">
        <f>transport!H14</f>
        <v>34664.618660514767</v>
      </c>
      <c r="I9" s="482">
        <f>transport!I14</f>
        <v>0</v>
      </c>
      <c r="J9" s="482">
        <f>transport!J14</f>
        <v>0</v>
      </c>
      <c r="K9" s="482">
        <f>transport!K14</f>
        <v>0</v>
      </c>
      <c r="L9" s="482">
        <f>transport!L14</f>
        <v>0</v>
      </c>
      <c r="M9" s="482">
        <f>transport!M14</f>
        <v>10313.36353967885</v>
      </c>
      <c r="N9" s="482">
        <f>transport!N14</f>
        <v>0</v>
      </c>
      <c r="O9" s="482">
        <f>transport!O14</f>
        <v>0</v>
      </c>
      <c r="P9" s="482">
        <f>transport!P14</f>
        <v>0</v>
      </c>
      <c r="Q9" s="481">
        <f>SUM(B9:P9)</f>
        <v>204697.98174334638</v>
      </c>
    </row>
    <row r="10" spans="1:17">
      <c r="A10" s="477" t="s">
        <v>551</v>
      </c>
      <c r="B10" s="478">
        <f>transport!B54</f>
        <v>0</v>
      </c>
      <c r="C10" s="478">
        <f>transport!C54</f>
        <v>0</v>
      </c>
      <c r="D10" s="478">
        <f>transport!D54</f>
        <v>0</v>
      </c>
      <c r="E10" s="478">
        <f>transport!E54</f>
        <v>0</v>
      </c>
      <c r="F10" s="478">
        <f>transport!F54</f>
        <v>0</v>
      </c>
      <c r="G10" s="478">
        <f>transport!G54</f>
        <v>634.90247912063262</v>
      </c>
      <c r="H10" s="478">
        <f>transport!H54</f>
        <v>0</v>
      </c>
      <c r="I10" s="478">
        <f>transport!I54</f>
        <v>0</v>
      </c>
      <c r="J10" s="478">
        <f>transport!J54</f>
        <v>0</v>
      </c>
      <c r="K10" s="478">
        <f>transport!K54</f>
        <v>0</v>
      </c>
      <c r="L10" s="478">
        <f>transport!L54</f>
        <v>0</v>
      </c>
      <c r="M10" s="478">
        <f>transport!M54</f>
        <v>36.059657988561106</v>
      </c>
      <c r="N10" s="478">
        <f>transport!N54</f>
        <v>0</v>
      </c>
      <c r="O10" s="478">
        <f>transport!O54</f>
        <v>0</v>
      </c>
      <c r="P10" s="479">
        <f>transport!P54</f>
        <v>0</v>
      </c>
      <c r="Q10" s="477">
        <f t="shared" si="0"/>
        <v>670.96213710919369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164103.48612980227</v>
      </c>
      <c r="C14" s="488">
        <f t="shared" ref="C14:Q14" ca="1" si="1">SUM(C4:C13)</f>
        <v>5361.4285714285716</v>
      </c>
      <c r="D14" s="488">
        <f t="shared" ca="1" si="1"/>
        <v>217582.41927821867</v>
      </c>
      <c r="E14" s="488">
        <f t="shared" si="1"/>
        <v>12144.82898701681</v>
      </c>
      <c r="F14" s="488">
        <f t="shared" ca="1" si="1"/>
        <v>34076.777016030814</v>
      </c>
      <c r="G14" s="488">
        <f t="shared" si="1"/>
        <v>159546.98307047653</v>
      </c>
      <c r="H14" s="488">
        <f t="shared" si="1"/>
        <v>34664.618660514767</v>
      </c>
      <c r="I14" s="488">
        <f t="shared" si="1"/>
        <v>0</v>
      </c>
      <c r="J14" s="488">
        <f t="shared" si="1"/>
        <v>421.35128511762315</v>
      </c>
      <c r="K14" s="488">
        <f t="shared" si="1"/>
        <v>0</v>
      </c>
      <c r="L14" s="488">
        <f t="shared" ca="1" si="1"/>
        <v>0</v>
      </c>
      <c r="M14" s="488">
        <f t="shared" si="1"/>
        <v>10349.423197667411</v>
      </c>
      <c r="N14" s="488">
        <f t="shared" ca="1" si="1"/>
        <v>44114.925702104796</v>
      </c>
      <c r="O14" s="488">
        <f t="shared" si="1"/>
        <v>590.94000000000005</v>
      </c>
      <c r="P14" s="489">
        <f t="shared" si="1"/>
        <v>705.4666666666667</v>
      </c>
      <c r="Q14" s="489">
        <f t="shared" ca="1" si="1"/>
        <v>683662.64856504498</v>
      </c>
    </row>
    <row r="16" spans="1:17">
      <c r="A16" s="491" t="s">
        <v>556</v>
      </c>
      <c r="B16" s="841">
        <f ca="1">huishoudens!B10</f>
        <v>0.18152486507081197</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7789.1834665796669</v>
      </c>
      <c r="C21" s="478">
        <f t="shared" ref="C21:C30" ca="1" si="3">C4*$C$16</f>
        <v>0</v>
      </c>
      <c r="D21" s="478">
        <f t="shared" ref="D21:D30" si="4">D4*$D$16</f>
        <v>26029.781562280346</v>
      </c>
      <c r="E21" s="478">
        <f t="shared" ref="E21:E30" si="5">E4*$E$16</f>
        <v>1505.753383535462</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35324.718412395472</v>
      </c>
    </row>
    <row r="22" spans="1:17">
      <c r="A22" s="477" t="s">
        <v>156</v>
      </c>
      <c r="B22" s="478">
        <f t="shared" ca="1" si="2"/>
        <v>5398.3709847298815</v>
      </c>
      <c r="C22" s="478">
        <f t="shared" ca="1" si="3"/>
        <v>0</v>
      </c>
      <c r="D22" s="478">
        <f t="shared" ca="1" si="4"/>
        <v>8428.8946220291182</v>
      </c>
      <c r="E22" s="478">
        <f t="shared" si="5"/>
        <v>135.31499025485775</v>
      </c>
      <c r="F22" s="478">
        <f t="shared" ca="1" si="6"/>
        <v>1425.8377808128739</v>
      </c>
      <c r="G22" s="478">
        <f t="shared" si="7"/>
        <v>0</v>
      </c>
      <c r="H22" s="478">
        <f t="shared" si="8"/>
        <v>0</v>
      </c>
      <c r="I22" s="478">
        <f t="shared" si="9"/>
        <v>0</v>
      </c>
      <c r="J22" s="478">
        <f t="shared" si="10"/>
        <v>1.9304153386284852E-2</v>
      </c>
      <c r="K22" s="478">
        <f t="shared" si="11"/>
        <v>0</v>
      </c>
      <c r="L22" s="478">
        <f t="shared" ca="1" si="12"/>
        <v>0</v>
      </c>
      <c r="M22" s="478">
        <f t="shared" si="13"/>
        <v>0</v>
      </c>
      <c r="N22" s="478">
        <f t="shared" ca="1" si="14"/>
        <v>0</v>
      </c>
      <c r="O22" s="478">
        <f t="shared" si="15"/>
        <v>0</v>
      </c>
      <c r="P22" s="479">
        <f t="shared" si="16"/>
        <v>0</v>
      </c>
      <c r="Q22" s="477">
        <f t="shared" ref="Q22:Q30" ca="1" si="17">SUM(B22:P22)</f>
        <v>15388.437681980116</v>
      </c>
    </row>
    <row r="23" spans="1:17">
      <c r="A23" s="477" t="s">
        <v>194</v>
      </c>
      <c r="B23" s="478">
        <f t="shared" ca="1" si="2"/>
        <v>350.72764077575215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350.72764077575215</v>
      </c>
    </row>
    <row r="24" spans="1:17">
      <c r="A24" s="477" t="s">
        <v>112</v>
      </c>
      <c r="B24" s="478">
        <f t="shared" ca="1" si="2"/>
        <v>527.43620644031603</v>
      </c>
      <c r="C24" s="478">
        <f t="shared" ca="1" si="3"/>
        <v>1274.127731092437</v>
      </c>
      <c r="D24" s="478">
        <f t="shared" si="4"/>
        <v>0</v>
      </c>
      <c r="E24" s="478">
        <f t="shared" si="5"/>
        <v>19.386722389564781</v>
      </c>
      <c r="F24" s="478">
        <f t="shared" si="6"/>
        <v>3231.9059208909243</v>
      </c>
      <c r="G24" s="478">
        <f t="shared" si="7"/>
        <v>0</v>
      </c>
      <c r="H24" s="478">
        <f t="shared" si="8"/>
        <v>0</v>
      </c>
      <c r="I24" s="478">
        <f t="shared" si="9"/>
        <v>0</v>
      </c>
      <c r="J24" s="478">
        <f t="shared" si="10"/>
        <v>149.01881088998911</v>
      </c>
      <c r="K24" s="478">
        <f t="shared" si="11"/>
        <v>0</v>
      </c>
      <c r="L24" s="478">
        <f t="shared" si="12"/>
        <v>0</v>
      </c>
      <c r="M24" s="478">
        <f t="shared" si="13"/>
        <v>0</v>
      </c>
      <c r="N24" s="478">
        <f t="shared" si="14"/>
        <v>0</v>
      </c>
      <c r="O24" s="478">
        <f t="shared" si="15"/>
        <v>0</v>
      </c>
      <c r="P24" s="479">
        <f t="shared" si="16"/>
        <v>0</v>
      </c>
      <c r="Q24" s="477">
        <f t="shared" ca="1" si="17"/>
        <v>5201.8753917032318</v>
      </c>
    </row>
    <row r="25" spans="1:17">
      <c r="A25" s="477" t="s">
        <v>635</v>
      </c>
      <c r="B25" s="478">
        <f t="shared" ca="1" si="2"/>
        <v>15708.788363046911</v>
      </c>
      <c r="C25" s="478">
        <f t="shared" ca="1" si="3"/>
        <v>0</v>
      </c>
      <c r="D25" s="478">
        <f t="shared" si="4"/>
        <v>9431.0230506072712</v>
      </c>
      <c r="E25" s="478">
        <f t="shared" si="5"/>
        <v>1000.5930260022272</v>
      </c>
      <c r="F25" s="478">
        <f t="shared" si="6"/>
        <v>4440.7557615764308</v>
      </c>
      <c r="G25" s="478">
        <f t="shared" si="7"/>
        <v>0</v>
      </c>
      <c r="H25" s="478">
        <f t="shared" si="8"/>
        <v>0</v>
      </c>
      <c r="I25" s="478">
        <f t="shared" si="9"/>
        <v>0</v>
      </c>
      <c r="J25" s="478">
        <f t="shared" si="10"/>
        <v>0.12023988826318817</v>
      </c>
      <c r="K25" s="478">
        <f t="shared" si="11"/>
        <v>0</v>
      </c>
      <c r="L25" s="478">
        <f t="shared" si="12"/>
        <v>0</v>
      </c>
      <c r="M25" s="478">
        <f t="shared" si="13"/>
        <v>0</v>
      </c>
      <c r="N25" s="478">
        <f t="shared" si="14"/>
        <v>0</v>
      </c>
      <c r="O25" s="478">
        <f t="shared" si="15"/>
        <v>0</v>
      </c>
      <c r="P25" s="479">
        <f t="shared" si="16"/>
        <v>0</v>
      </c>
      <c r="Q25" s="477">
        <f t="shared" ca="1" si="17"/>
        <v>30581.280441121107</v>
      </c>
    </row>
    <row r="26" spans="1:17" s="483" customFormat="1">
      <c r="A26" s="481" t="s">
        <v>561</v>
      </c>
      <c r="B26" s="835">
        <f t="shared" ca="1" si="2"/>
        <v>14.356515789689402</v>
      </c>
      <c r="C26" s="482">
        <f t="shared" ca="1" si="3"/>
        <v>0</v>
      </c>
      <c r="D26" s="482">
        <f t="shared" si="4"/>
        <v>61.94945928344265</v>
      </c>
      <c r="E26" s="482">
        <f t="shared" si="5"/>
        <v>95.828057870704143</v>
      </c>
      <c r="F26" s="482">
        <f t="shared" si="6"/>
        <v>0</v>
      </c>
      <c r="G26" s="482">
        <f t="shared" si="7"/>
        <v>42429.525517892027</v>
      </c>
      <c r="H26" s="482">
        <f t="shared" si="8"/>
        <v>8631.4900464681778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51233.149597304044</v>
      </c>
    </row>
    <row r="27" spans="1:17">
      <c r="A27" s="477" t="s">
        <v>551</v>
      </c>
      <c r="B27" s="478">
        <f t="shared" ca="1" si="2"/>
        <v>0</v>
      </c>
      <c r="C27" s="478">
        <f t="shared" ca="1" si="3"/>
        <v>0</v>
      </c>
      <c r="D27" s="478">
        <f t="shared" si="4"/>
        <v>0</v>
      </c>
      <c r="E27" s="478">
        <f t="shared" si="5"/>
        <v>0</v>
      </c>
      <c r="F27" s="478">
        <f t="shared" si="6"/>
        <v>0</v>
      </c>
      <c r="G27" s="478">
        <f t="shared" si="7"/>
        <v>169.51896192520891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169.51896192520891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29788.863177362218</v>
      </c>
      <c r="C31" s="488">
        <f t="shared" ca="1" si="18"/>
        <v>1274.127731092437</v>
      </c>
      <c r="D31" s="488">
        <f t="shared" ca="1" si="18"/>
        <v>43951.648694200179</v>
      </c>
      <c r="E31" s="488">
        <f t="shared" si="18"/>
        <v>2756.8761800528159</v>
      </c>
      <c r="F31" s="488">
        <f t="shared" ca="1" si="18"/>
        <v>9098.49946328023</v>
      </c>
      <c r="G31" s="488">
        <f t="shared" si="18"/>
        <v>42599.044479817239</v>
      </c>
      <c r="H31" s="488">
        <f t="shared" si="18"/>
        <v>8631.4900464681778</v>
      </c>
      <c r="I31" s="488">
        <f t="shared" si="18"/>
        <v>0</v>
      </c>
      <c r="J31" s="488">
        <f t="shared" si="18"/>
        <v>149.1583549316386</v>
      </c>
      <c r="K31" s="488">
        <f t="shared" si="18"/>
        <v>0</v>
      </c>
      <c r="L31" s="488">
        <f t="shared" ca="1" si="18"/>
        <v>0</v>
      </c>
      <c r="M31" s="488">
        <f t="shared" si="18"/>
        <v>0</v>
      </c>
      <c r="N31" s="488">
        <f t="shared" ca="1" si="18"/>
        <v>0</v>
      </c>
      <c r="O31" s="488">
        <f t="shared" si="18"/>
        <v>0</v>
      </c>
      <c r="P31" s="489">
        <f t="shared" si="18"/>
        <v>0</v>
      </c>
      <c r="Q31" s="489">
        <f t="shared" ca="1" si="18"/>
        <v>138249.70812720494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0.18152486507081197</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0.18152486507081197</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0.18152486507081197</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2018-09-06T12:47:57Z</dcterms:modified>
</cp:coreProperties>
</file>