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<sst xmlns="http://schemas.openxmlformats.org/spreadsheetml/2006/main" count="1914" uniqueCount="809">
  <si>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</si>
  <si>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</si>
  <si>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</si>
  <si>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</si>
  <si>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</si>
  <si>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</si>
  <si>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</si>
  <si>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</si>
  <si>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</si>
  <si>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</si>
  <si>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</si>
  <si>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</si>
  <si>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</si>
  <si>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</si>
  <si>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</si>
  <si>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</si>
  <si>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</si>
  <si>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</si>
  <si>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</si>
  <si>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</si>
  <si>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</si>
  <si>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</si>
  <si>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</si>
  <si>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</si>
  <si>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</si>
  <si>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</si>
  <si>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</si>
  <si>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</si>
  <si>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</si>
  <si>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</si>
  <si>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</si>
  <si>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</si>
  <si>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</si>
  <si>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</si>
  <si>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</si>
  <si>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</si>
  <si>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</si>
  <si>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</si>
  <si>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</si>
  <si>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</si>
  <si>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</si>
  <si>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</si>
  <si>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</si>
  <si>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</si>
  <si>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</si>
  <si>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</si>
  <si>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</si>
  <si>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</si>
  <si>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</si>
  <si>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</si>
  <si>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</si>
  <si>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</si>
  <si>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</si>
  <si>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</si>
  <si>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</si>
  <si>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</si>
  <si>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</si>
  <si>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</si>
  <si>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</si>
  <si>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</si>
  <si>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</si>
  <si>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</si>
  <si>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</si>
  <si>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</si>
  <si>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</si>
  <si>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</si>
  <si>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</si>
  <si>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</si>
  <si>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</si>
  <si>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</si>
  <si>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</si>
  <si>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</si>
  <si>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</si>
  <si>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</si>
  <si>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</si>
  <si>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</si>
  <si>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</si>
  <si>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</si>
  <si>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</si>
  <si>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</si>
  <si>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</si>
  <si>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</si>
  <si>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</si>
  <si>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</si>
  <si>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</si>
  <si>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</si>
  <si>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</si>
  <si>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</si>
  <si>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</si>
  <si>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</si>
  <si>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</si>
  <si>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</si>
  <si>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</si>
  <si>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</si>
  <si>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</si>
  <si>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</si>
  <si>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</si>
  <si>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</si>
  <si>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</si>
  <si>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</si>
  <si>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</si>
  <si>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</si>
  <si>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</si>
  <si>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</si>
  <si>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</si>
  <si>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</si>
  <si>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</si>
  <si>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</si>
  <si>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</si>
  <si>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</si>
  <si>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</si>
  <si>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</si>
  <si>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</si>
  <si>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</si>
  <si>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</si>
  <si>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</si>
  <si>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</si>
  <si>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</si>
  <si>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</si>
  <si>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</si>
  <si>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</si>
  <si>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</si>
  <si>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</si>
  <si>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</si>
  <si>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</si>
  <si>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</si>
  <si>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</si>
  <si>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</si>
  <si>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</si>
  <si>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</si>
  <si>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</si>
  <si>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</si>
  <si>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</si>
  <si>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</si>
  <si>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</si>
  <si>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</si>
  <si>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</si>
  <si>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</si>
  <si>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</si>
  <si>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</si>
  <si>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</si>
  <si>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</si>
  <si>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</si>
  <si>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</si>
  <si>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</si>
  <si>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</si>
  <si>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</si>
  <si>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</si>
  <si>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</si>
  <si>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</si>
  <si>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</si>
  <si>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</si>
  <si>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</si>
  <si>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</si>
  <si>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</si>
  <si>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</si>
  <si>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</si>
  <si>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</si>
  <si>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</si>
  <si>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</si>
  <si>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</si>
  <si>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</si>
  <si>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</si>
  <si>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</si>
  <si>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</si>
  <si>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</si>
  <si>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</si>
  <si>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</si>
  <si>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</si>
  <si>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</si>
  <si>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</si>
  <si>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</si>
  <si>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</si>
  <si>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</si>
  <si>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</si>
  <si>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</si>
  <si>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</si>
  <si>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</si>
  <si>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</si>
  <si>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</si>
  <si>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</si>
  <si>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</si>
  <si>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</si>
  <si>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</si>
  <si>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</si>
  <si>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</si>
  <si>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</si>
  <si>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</si>
  <si>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</si>
  <si>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</si>
  <si>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</si>
  <si>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</si>
  <si>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</si>
  <si>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</si>
  <si>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</si>
  <si>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</si>
  <si>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</si>
  <si>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</si>
  <si>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</si>
  <si>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</si>
  <si>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</si>
  <si>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</si>
  <si>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</si>
  <si>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</si>
  <si>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</si>
  <si>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</si>
  <si>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</si>
  <si>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</si>
  <si>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</si>
  <si>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</si>
  <si>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</si>
  <si>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</si>
  <si>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</si>
  <si>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</si>
  <si>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</si>
  <si>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</si>
  <si>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</si>
  <si>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</si>
  <si>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</si>
  <si>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</si>
  <si>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</si>
  <si>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</si>
  <si>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</si>
  <si>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</si>
  <si>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</si>
  <si>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</si>
  <si>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</si>
  <si>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</si>
  <si>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</si>
  <si>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</si>
  <si>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</si>
  <si>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</si>
  <si>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</si>
  <si>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</si>
  <si>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</si>
  <si>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</si>
  <si>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</si>
  <si>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</si>
  <si>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</si>
  <si>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</si>
  <si>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</si>
  <si>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</si>
  <si>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</si>
  <si>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</si>
  <si>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</si>
  <si>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</si>
  <si>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</si>
  <si>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</si>
  <si>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</si>
  <si>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</si>
  <si>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</si>
  <si>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</si>
  <si>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</si>
  <si>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</si>
  <si>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</si>
  <si>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</si>
  <si>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</si>
  <si>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</si>
  <si>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</si>
  <si>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</si>
  <si>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</si>
  <si>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</si>
  <si>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</si>
  <si>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</si>
  <si>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</si>
  <si>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</si>
  <si>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</si>
  <si>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</si>
  <si>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</si>
  <si>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</si>
  <si>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</si>
  <si>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</si>
  <si>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</si>
  <si>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</si>
  <si>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</si>
  <si>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</si>
  <si>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</si>
  <si>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</si>
  <si>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</si>
  <si>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</si>
  <si>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</si>
  <si>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</si>
  <si>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</si>
  <si>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</si>
  <si>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</si>
  <si>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</si>
  <si>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</si>
  <si>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</si>
  <si>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</si>
  <si>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</si>
  <si>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</si>
  <si>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</si>
  <si>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</si>
  <si>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</si>
  <si>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</si>
  <si>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</si>
  <si>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</si>
  <si>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</si>
  <si>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</si>
  <si>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</si>
  <si>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</si>
  <si>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</si>
  <si>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</si>
  <si>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</si>
  <si>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</si>
  <si>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</si>
  <si>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</si>
  <si>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</si>
  <si>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</si>
  <si>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</si>
  <si>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</si>
  <si>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</si>
  <si>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</si>
  <si>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</si>
  <si>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</si>
  <si>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</si>
  <si>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</si>
  <si>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</si>
  <si>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</si>
  <si>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</si>
  <si>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</si>
  <si>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</si>
  <si>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</si>
  <si>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</si>
  <si>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</si>
  <si>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</si>
  <si>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</si>
  <si>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</si>
  <si>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</si>
  <si>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</si>
  <si>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</si>
  <si>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</si>
  <si>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</si>
  <si>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</si>
  <si>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</si>
  <si>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</si>
  <si>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</si>
  <si>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</si>
  <si>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</si>
  <si>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</si>
  <si>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</si>
  <si>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</si>
  <si>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</si>
  <si>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</si>
  <si>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</si>
  <si>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</si>
  <si>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</si>
  <si>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</si>
  <si>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</si>
  <si>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</si>
  <si>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</si>
  <si>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</si>
  <si>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</si>
  <si>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</si>
  <si>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</si>
  <si>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</si>
  <si>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</si>
  <si>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</si>
  <si>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</si>
  <si>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</si>
  <si>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</si>
  <si>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</si>
  <si>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</si>
  <si>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</si>
  <si>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</si>
  <si>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</si>
  <si>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</si>
  <si>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</si>
  <si>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</si>
  <si>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</si>
  <si>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</si>
  <si>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</si>
  <si>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</si>
  <si>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</si>
  <si>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</si>
  <si>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</si>
  <si>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</si>
  <si>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</si>
  <si>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</si>
  <si>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</si>
  <si>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</si>
  <si>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</si>
  <si>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</si>
  <si>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</si>
  <si>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</si>
  <si>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</si>
  <si>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</si>
  <si>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</si>
  <si>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</si>
  <si>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</si>
  <si>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</si>
  <si>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</si>
  <si>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</si>
  <si>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</si>
  <si>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</si>
  <si>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</si>
  <si>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</si>
  <si>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</si>
  <si>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</si>
  <si>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</si>
  <si>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</si>
  <si>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</si>
  <si>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</si>
  <si>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</si>
  <si>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</si>
  <si>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</si>
  <si>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</si>
  <si>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</si>
  <si>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</si>
  <si>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</si>
  <si>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</si>
  <si>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</si>
  <si>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</si>
  <si>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</si>
  <si>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</si>
  <si>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</si>
  <si>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</si>
  <si>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</si>
  <si>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</si>
  <si>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</si>
  <si>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</si>
  <si>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</si>
  <si>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</si>
  <si>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</si>
  <si>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</si>
  <si>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</si>
  <si>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</si>
  <si>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</si>
  <si>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</si>
  <si>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</si>
  <si>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</si>
  <si>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</si>
  <si>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</si>
  <si>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</si>
  <si>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</si>
  <si>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</si>
  <si>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</si>
  <si>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</si>
  <si>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</si>
  <si>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</si>
  <si>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</si>
  <si>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</si>
  <si>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</si>
  <si>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</si>
  <si>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</si>
  <si>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</si>
  <si>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</si>
  <si>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</si>
  <si>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</si>
  <si>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</si>
  <si>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</si>
  <si>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</si>
  <si>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</si>
  <si>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</si>
  <si>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</si>
  <si>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</si>
  <si>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</si>
  <si>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</si>
  <si>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</si>
  <si>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</si>
  <si>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</si>
  <si>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</si>
  <si>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</si>
  <si>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</si>
  <si>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</si>
  <si>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</si>
  <si>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</si>
  <si>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</si>
  <si>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</si>
  <si>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</si>
  <si>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</si>
  <si>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</si>
  <si>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</si>
  <si>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</si>
  <si>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</si>
  <si>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</si>
  <si>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</si>
  <si>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</si>
  <si>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</si>
  <si>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</si>
  <si>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</si>
  <si>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</si>
  <si>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</si>
  <si>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</si>
  <si>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</si>
  <si>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</si>
  <si>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</si>
  <si>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</si>
  <si>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</si>
  <si>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</si>
  <si>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</si>
  <si>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</si>
  <si>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</si>
  <si>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</si>
  <si>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</si>
  <si>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</si>
  <si>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</si>
  <si>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</si>
  <si>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</si>
  <si>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</si>
  <si>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</si>
  <si>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</si>
  <si>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</si>
  <si>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</si>
  <si>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</si>
  <si>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</si>
  <si>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</si>
  <si>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</si>
  <si>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</si>
  <si>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</si>
  <si>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</si>
  <si>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</si>
  <si>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</si>
  <si>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</si>
  <si>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</si>
  <si>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</si>
  <si>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</si>
  <si>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</si>
  <si>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</si>
  <si>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</si>
  <si>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</si>
  <si>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</si>
  <si>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</si>
  <si>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</si>
  <si>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</si>
  <si>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</si>
  <si>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</si>
  <si>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</si>
  <si>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</si>
  <si>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</si>
  <si>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</si>
  <si>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</si>
  <si>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</si>
  <si>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</si>
  <si>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</si>
  <si>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</si>
  <si>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</si>
  <si>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</si>
  <si>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</si>
  <si>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</si>
  <si>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</si>
  <si>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</si>
  <si>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</si>
  <si>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</si>
  <si>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</si>
  <si>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</si>
  <si>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</si>
  <si>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</si>
  <si>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</si>
  <si>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</si>
  <si>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</si>
  <si>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</si>
  <si>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</si>
  <si>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</si>
  <si>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</si>
  <si>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</si>
  <si>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</si>
  <si>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</si>
  <si>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</si>
  <si>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</si>
  <si>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</si>
  <si>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</si>
  <si>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</si>
  <si>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</si>
  <si>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</si>
  <si>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</si>
  <si>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</si>
  <si>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</si>
  <si>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</si>
  <si>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</si>
  <si>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</si>
  <si>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</si>
  <si>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</si>
  <si>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</si>
  <si>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</si>
  <si>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</si>
  <si>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</si>
  <si>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</si>
  <si>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</si>
  <si>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</si>
  <si>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</si>
  <si>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</si>
  <si>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</si>
  <si>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</si>
  <si>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</si>
  <si>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</si>
  <si>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</si>
  <si>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</si>
  <si>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</si>
  <si>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</si>
  <si>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</si>
  <si>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</si>
  <si>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</si>
  <si>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</si>
  <si>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</si>
  <si>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</si>
  <si>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</si>
  <si>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</si>
  <si>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</si>
  <si>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</si>
  <si>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</si>
  <si>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</si>
  <si>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</si>
  <si>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</si>
  <si>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</si>
  <si>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</si>
  <si>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</si>
  <si>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</si>
  <si>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</si>
  <si>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</si>
  <si>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</si>
  <si>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</si>
  <si>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</si>
  <si>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</si>
  <si>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</si>
  <si>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</si>
  <si>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</si>
  <si>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</si>
  <si>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</si>
  <si>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</si>
  <si>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</si>
  <si>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</si>
  <si>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</si>
  <si>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</si>
  <si>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</si>
  <si>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</si>
  <si>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</si>
  <si>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</si>
  <si>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</si>
  <si>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</si>
  <si>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</si>
  <si>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</si>
  <si>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</si>
  <si>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</si>
  <si>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</si>
  <si>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</si>
  <si>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</si>
  <si>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</si>
  <si>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</si>
  <si>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</si>
  <si>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</si>
  <si>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</si>
  <si>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</si>
  <si>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</si>
  <si>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</si>
  <si>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</si>
  <si>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</si>
  <si>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</si>
  <si>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</si>
  <si>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</si>
  <si>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</si>
  <si>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</si>
  <si>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</si>
  <si>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</si>
  <si>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</si>
  <si>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</si>
  <si>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</si>
  <si>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</si>
  <si>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</si>
  <si>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</si>
  <si>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</si>
  <si>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</si>
  <si>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</si>
  <si>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</si>
  <si>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</si>
  <si>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</si>
  <si>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</si>
  <si>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</si>
  <si>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</si>
  <si>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</si>
  <si>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</si>
  <si>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</si>
  <si>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</si>
  <si>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</si>
  <si>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</si>
  <si>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</si>
  <si>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</si>
  <si>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</si>
  <si>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</si>
  <si>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</si>
  <si>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</si>
  <si>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</si>
  <si>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</si>
  <si>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</si>
  <si>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</si>
  <si>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</si>
  <si>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</si>
  <si>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</si>
  <si>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</si>
  <si>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</si>
  <si>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</si>
  <si>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</si>
  <si>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</si>
  <si>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</si>
  <si>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</si>
  <si>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</si>
  <si>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</si>
  <si>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</si>
  <si>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</si>
  <si>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</si>
  <si>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</si>
  <si>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</si>
  <si>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</si>
  <si>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</si>
  <si>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</si>
  <si>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</si>
  <si>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</si>
  <si>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</si>
  <si>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</si>
  <si>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</si>
  <si>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</si>
  <si>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</si>
  <si>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</si>
  <si>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</si>
  <si>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</si>
  <si>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</si>
  <si>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</si>
  <si>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</si>
  <si>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</si>
  <si>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</si>
  <si>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</si>
  <si>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</si>
  <si>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</si>
  <si>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</si>
  <si>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</si>
  <si>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</si>
  <si>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</si>
  <si>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</si>
  <si>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</si>
  <si>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</si>
  <si>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</si>
  <si>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</si>
  <si>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</si>
  <si>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</si>
  <si>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</si>
  <si>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</si>
  <si>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</si>
  <si>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</si>
  <si>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</si>
  <si>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</si>
  <si>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</si>
  <si>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</si>
  <si>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</si>
  <si>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</si>
  <si>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</si>
  <si>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</si>
  <si>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</si>
  <si>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</si>
  <si>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</si>
  <si>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</si>
  <si>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</si>
  <si>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</si>
  <si>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</si>
  <si>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</si>
  <si>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</si>
  <si>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</si>
  <si>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</si>
  <si>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</si>
  <si>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</si>
  <si>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</si>
  <si>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</si>
  <si>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</si>
  <si>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</si>
  <si>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</si>
  <si>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</si>
  <si>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</si>
  <si>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</si>
  <si>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</si>
  <si>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</si>
  <si>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</si>
  <si>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</si>
  <si>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</si>
  <si>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</si>
  <si>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</si>
  <si>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</si>
  <si>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</si>
  <si>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</si>
  <si>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</si>
  <si>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</si>
  <si>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</si>
  <si>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</si>
  <si>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</si>
  <si>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</si>
  <si>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</si>
  <si>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</si>
  <si>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</si>
  <si>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</si>
  <si>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</si>
  <si>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</si>
  <si>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</si>
  <si>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</si>
  <si>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</si>
  <si>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</si>
  <si>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</si>
  <si>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</si>
  <si>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</si>
  <si>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</si>
  <si>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</si>
  <si>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</si>
  <si>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</si>
  <si>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</si>
  <si>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35011</t>
  </si>
  <si>
    <t>MIDDELKERKE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</si>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</sst>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129923.57915488661</c:v>
                </c:pt>
                <c:pt idx="1">
                  <c:v>74042.340542064805</c:v>
                </c:pt>
                <c:pt idx="2">
                  <c:v>1988.1369999999999</c:v>
                </c:pt>
                <c:pt idx="3">
                  <c:v>14521.233943458192</c:v>
                </c:pt>
                <c:pt idx="4">
                  <c:v>8272.5426100348304</c:v>
                </c:pt>
                <c:pt idx="5">
                  <c:v>189761.75565543509</c:v>
                </c:pt>
                <c:pt idx="6">
                  <c:v>3248.337322983065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129923.57915488661</c:v>
                </c:pt>
                <c:pt idx="1">
                  <c:v>74042.340542064805</c:v>
                </c:pt>
                <c:pt idx="2">
                  <c:v>1988.1369999999999</c:v>
                </c:pt>
                <c:pt idx="3">
                  <c:v>14521.233943458192</c:v>
                </c:pt>
                <c:pt idx="4">
                  <c:v>8272.5426100348304</c:v>
                </c:pt>
                <c:pt idx="5">
                  <c:v>189761.75565543509</c:v>
                </c:pt>
                <c:pt idx="6">
                  <c:v>3248.337322983065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25186.039995346357</c:v>
                </c:pt>
                <c:pt idx="1">
                  <c:v>14592.681805014923</c:v>
                </c:pt>
                <c:pt idx="2">
                  <c:v>392.19327906131804</c:v>
                </c:pt>
                <c:pt idx="3">
                  <c:v>3696.9768682028021</c:v>
                </c:pt>
                <c:pt idx="4">
                  <c:v>1612.7113891461431</c:v>
                </c:pt>
                <c:pt idx="5">
                  <c:v>47587.269633090626</c:v>
                </c:pt>
                <c:pt idx="6">
                  <c:v>727.9285168613917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25186.039995346357</c:v>
                </c:pt>
                <c:pt idx="1">
                  <c:v>14592.681805014923</c:v>
                </c:pt>
                <c:pt idx="2">
                  <c:v>392.19327906131804</c:v>
                </c:pt>
                <c:pt idx="3">
                  <c:v>3696.9768682028021</c:v>
                </c:pt>
                <c:pt idx="4">
                  <c:v>1612.7113891461431</c:v>
                </c:pt>
                <c:pt idx="5">
                  <c:v>47587.269633090626</c:v>
                </c:pt>
                <c:pt idx="6">
                  <c:v>727.9285168613917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9838</v>
      </c>
      <c r="C9" s="342">
        <v>10329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5774.27</v>
      </c>
    </row>
    <row r="15" spans="1:6">
      <c r="A15" s="348" t="s">
        <v>184</v>
      </c>
      <c r="B15" s="334">
        <v>51</v>
      </c>
    </row>
    <row r="16" spans="1:6">
      <c r="A16" s="348" t="s">
        <v>6</v>
      </c>
      <c r="B16" s="334">
        <v>1756</v>
      </c>
    </row>
    <row r="17" spans="1:6">
      <c r="A17" s="348" t="s">
        <v>7</v>
      </c>
      <c r="B17" s="334">
        <v>1808</v>
      </c>
    </row>
    <row r="18" spans="1:6">
      <c r="A18" s="348" t="s">
        <v>8</v>
      </c>
      <c r="B18" s="334">
        <v>2314</v>
      </c>
    </row>
    <row r="19" spans="1:6">
      <c r="A19" s="348" t="s">
        <v>9</v>
      </c>
      <c r="B19" s="334">
        <v>2021</v>
      </c>
    </row>
    <row r="20" spans="1:6">
      <c r="A20" s="348" t="s">
        <v>10</v>
      </c>
      <c r="B20" s="334">
        <v>1338</v>
      </c>
    </row>
    <row r="21" spans="1:6">
      <c r="A21" s="348" t="s">
        <v>11</v>
      </c>
      <c r="B21" s="334">
        <v>15132</v>
      </c>
    </row>
    <row r="22" spans="1:6">
      <c r="A22" s="348" t="s">
        <v>12</v>
      </c>
      <c r="B22" s="334">
        <v>26674</v>
      </c>
    </row>
    <row r="23" spans="1:6">
      <c r="A23" s="348" t="s">
        <v>13</v>
      </c>
      <c r="B23" s="334">
        <v>501</v>
      </c>
    </row>
    <row r="24" spans="1:6">
      <c r="A24" s="348" t="s">
        <v>14</v>
      </c>
      <c r="B24" s="334">
        <v>197</v>
      </c>
    </row>
    <row r="25" spans="1:6">
      <c r="A25" s="348" t="s">
        <v>15</v>
      </c>
      <c r="B25" s="334">
        <v>3567</v>
      </c>
    </row>
    <row r="26" spans="1:6">
      <c r="A26" s="348" t="s">
        <v>16</v>
      </c>
      <c r="B26" s="334">
        <v>328</v>
      </c>
    </row>
    <row r="27" spans="1:6">
      <c r="A27" s="348" t="s">
        <v>17</v>
      </c>
      <c r="B27" s="334">
        <v>716</v>
      </c>
    </row>
    <row r="28" spans="1:6" s="356" customFormat="1">
      <c r="A28" s="355" t="s">
        <v>18</v>
      </c>
      <c r="B28" s="355">
        <v>58891</v>
      </c>
    </row>
    <row r="29" spans="1:6">
      <c r="A29" s="355" t="s">
        <v>744</v>
      </c>
      <c r="B29" s="355">
        <v>264</v>
      </c>
      <c r="C29" s="356"/>
      <c r="D29" s="356"/>
      <c r="E29" s="356"/>
      <c r="F29" s="356"/>
    </row>
    <row r="30" spans="1:6">
      <c r="A30" s="341" t="s">
        <v>745</v>
      </c>
      <c r="B30" s="341">
        <v>64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19</v>
      </c>
      <c r="F36" s="334">
        <v>4468331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8703</v>
      </c>
      <c r="D39" s="334">
        <v>81511734.500000015</v>
      </c>
      <c r="E39" s="334">
        <v>22547</v>
      </c>
      <c r="F39" s="334">
        <v>47755534.200000003</v>
      </c>
    </row>
    <row r="40" spans="1:6">
      <c r="A40" s="348" t="s">
        <v>30</v>
      </c>
      <c r="B40" s="348" t="s">
        <v>29</v>
      </c>
      <c r="C40" s="334">
        <v>0</v>
      </c>
      <c r="D40" s="334">
        <v>0</v>
      </c>
      <c r="E40" s="334">
        <v>0</v>
      </c>
      <c r="F40" s="334">
        <v>0</v>
      </c>
    </row>
    <row r="41" spans="1:6">
      <c r="A41" s="348" t="s">
        <v>32</v>
      </c>
      <c r="B41" s="348" t="s">
        <v>33</v>
      </c>
      <c r="C41" s="334">
        <v>114</v>
      </c>
      <c r="D41" s="334">
        <v>1805201.7999999998</v>
      </c>
      <c r="E41" s="334">
        <v>319</v>
      </c>
      <c r="F41" s="334">
        <v>1607770.6</v>
      </c>
    </row>
    <row r="42" spans="1:6">
      <c r="A42" s="348" t="s">
        <v>32</v>
      </c>
      <c r="B42" s="348" t="s">
        <v>34</v>
      </c>
      <c r="C42" s="334">
        <v>0</v>
      </c>
      <c r="D42" s="334">
        <v>0</v>
      </c>
      <c r="E42" s="334">
        <v>3</v>
      </c>
      <c r="F42" s="334">
        <v>112046</v>
      </c>
    </row>
    <row r="43" spans="1:6">
      <c r="A43" s="348" t="s">
        <v>32</v>
      </c>
      <c r="B43" s="348" t="s">
        <v>35</v>
      </c>
      <c r="C43" s="334">
        <v>0</v>
      </c>
      <c r="D43" s="334">
        <v>0</v>
      </c>
      <c r="E43" s="334">
        <v>0</v>
      </c>
      <c r="F43" s="334">
        <v>0</v>
      </c>
    </row>
    <row r="44" spans="1:6">
      <c r="A44" s="348" t="s">
        <v>32</v>
      </c>
      <c r="B44" s="348" t="s">
        <v>36</v>
      </c>
      <c r="C44" s="334">
        <v>5</v>
      </c>
      <c r="D44" s="334">
        <v>79859</v>
      </c>
      <c r="E44" s="334">
        <v>15</v>
      </c>
      <c r="F44" s="334">
        <v>88401.2</v>
      </c>
    </row>
    <row r="45" spans="1:6">
      <c r="A45" s="348" t="s">
        <v>32</v>
      </c>
      <c r="B45" s="348" t="s">
        <v>37</v>
      </c>
      <c r="C45" s="334">
        <v>0</v>
      </c>
      <c r="D45" s="334">
        <v>0</v>
      </c>
      <c r="E45" s="334">
        <v>3</v>
      </c>
      <c r="F45" s="334">
        <v>4035</v>
      </c>
    </row>
    <row r="46" spans="1:6">
      <c r="A46" s="348" t="s">
        <v>32</v>
      </c>
      <c r="B46" s="348" t="s">
        <v>38</v>
      </c>
      <c r="C46" s="334">
        <v>0</v>
      </c>
      <c r="D46" s="334">
        <v>0</v>
      </c>
      <c r="E46" s="334">
        <v>0</v>
      </c>
      <c r="F46" s="334">
        <v>0</v>
      </c>
    </row>
    <row r="47" spans="1:6">
      <c r="A47" s="348" t="s">
        <v>32</v>
      </c>
      <c r="B47" s="348" t="s">
        <v>39</v>
      </c>
      <c r="C47" s="334">
        <v>0</v>
      </c>
      <c r="D47" s="334">
        <v>0</v>
      </c>
      <c r="E47" s="334">
        <v>5</v>
      </c>
      <c r="F47" s="334">
        <v>38868</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22</v>
      </c>
      <c r="D50" s="334">
        <v>1240805</v>
      </c>
      <c r="E50" s="334">
        <v>38</v>
      </c>
      <c r="F50" s="334">
        <v>1038141</v>
      </c>
    </row>
    <row r="51" spans="1:6">
      <c r="A51" s="348" t="s">
        <v>42</v>
      </c>
      <c r="B51" s="348" t="s">
        <v>43</v>
      </c>
      <c r="C51" s="334">
        <v>14</v>
      </c>
      <c r="D51" s="334">
        <v>443803</v>
      </c>
      <c r="E51" s="334">
        <v>192</v>
      </c>
      <c r="F51" s="334">
        <v>2644260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1988137</v>
      </c>
    </row>
    <row r="55" spans="1:6">
      <c r="A55" s="348" t="s">
        <v>46</v>
      </c>
      <c r="B55" s="348" t="s">
        <v>29</v>
      </c>
      <c r="C55" s="334">
        <v>0</v>
      </c>
      <c r="D55" s="334">
        <v>0</v>
      </c>
      <c r="E55" s="334">
        <v>0</v>
      </c>
      <c r="F55" s="334">
        <v>0</v>
      </c>
    </row>
    <row r="56" spans="1:6">
      <c r="A56" s="348" t="s">
        <v>48</v>
      </c>
      <c r="B56" s="348" t="s">
        <v>29</v>
      </c>
      <c r="C56" s="334">
        <v>9</v>
      </c>
      <c r="D56" s="334">
        <v>657798.30000000005</v>
      </c>
      <c r="E56" s="334">
        <v>10</v>
      </c>
      <c r="F56" s="334">
        <v>850885</v>
      </c>
    </row>
    <row r="57" spans="1:6">
      <c r="A57" s="348" t="s">
        <v>49</v>
      </c>
      <c r="B57" s="348" t="s">
        <v>50</v>
      </c>
      <c r="C57" s="334">
        <v>64</v>
      </c>
      <c r="D57" s="334">
        <v>4330178.55</v>
      </c>
      <c r="E57" s="334">
        <v>149</v>
      </c>
      <c r="F57" s="334">
        <v>3241006.1</v>
      </c>
    </row>
    <row r="58" spans="1:6">
      <c r="A58" s="348" t="s">
        <v>49</v>
      </c>
      <c r="B58" s="348" t="s">
        <v>51</v>
      </c>
      <c r="C58" s="334">
        <v>24</v>
      </c>
      <c r="D58" s="334">
        <v>1713001.55</v>
      </c>
      <c r="E58" s="334">
        <v>77</v>
      </c>
      <c r="F58" s="334">
        <v>1420942.55</v>
      </c>
    </row>
    <row r="59" spans="1:6">
      <c r="A59" s="348" t="s">
        <v>49</v>
      </c>
      <c r="B59" s="348" t="s">
        <v>52</v>
      </c>
      <c r="C59" s="334">
        <v>162</v>
      </c>
      <c r="D59" s="334">
        <v>5463655</v>
      </c>
      <c r="E59" s="334">
        <v>417</v>
      </c>
      <c r="F59" s="334">
        <v>9605564.5500000007</v>
      </c>
    </row>
    <row r="60" spans="1:6">
      <c r="A60" s="348" t="s">
        <v>49</v>
      </c>
      <c r="B60" s="348" t="s">
        <v>53</v>
      </c>
      <c r="C60" s="334">
        <v>198</v>
      </c>
      <c r="D60" s="334">
        <v>10066875.5</v>
      </c>
      <c r="E60" s="334">
        <v>324</v>
      </c>
      <c r="F60" s="334">
        <v>10760678.050000001</v>
      </c>
    </row>
    <row r="61" spans="1:6">
      <c r="A61" s="348" t="s">
        <v>49</v>
      </c>
      <c r="B61" s="348" t="s">
        <v>54</v>
      </c>
      <c r="C61" s="334">
        <v>223</v>
      </c>
      <c r="D61" s="334">
        <v>14816131</v>
      </c>
      <c r="E61" s="334">
        <v>1070</v>
      </c>
      <c r="F61" s="334">
        <v>6976198.0499999998</v>
      </c>
    </row>
    <row r="62" spans="1:6">
      <c r="A62" s="348" t="s">
        <v>49</v>
      </c>
      <c r="B62" s="348" t="s">
        <v>55</v>
      </c>
      <c r="C62" s="334">
        <v>4</v>
      </c>
      <c r="D62" s="334">
        <v>374554</v>
      </c>
      <c r="E62" s="334">
        <v>10</v>
      </c>
      <c r="F62" s="334">
        <v>182541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29</v>
      </c>
      <c r="F68" s="334">
        <v>1929751.1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86793017</v>
      </c>
      <c r="E73" s="476">
        <v>87910118.316652894</v>
      </c>
    </row>
    <row r="74" spans="1:6">
      <c r="A74" s="348" t="s">
        <v>64</v>
      </c>
      <c r="B74" s="348" t="s">
        <v>657</v>
      </c>
      <c r="C74" s="1213" t="s">
        <v>659</v>
      </c>
      <c r="D74" s="476">
        <v>9932744.9543797448</v>
      </c>
      <c r="E74" s="476">
        <v>10601994.8892051</v>
      </c>
    </row>
    <row r="75" spans="1:6">
      <c r="A75" s="348" t="s">
        <v>65</v>
      </c>
      <c r="B75" s="348" t="s">
        <v>656</v>
      </c>
      <c r="C75" s="1213" t="s">
        <v>660</v>
      </c>
      <c r="D75" s="476">
        <v>7040410</v>
      </c>
      <c r="E75" s="476">
        <v>7383244.6820991067</v>
      </c>
    </row>
    <row r="76" spans="1:6">
      <c r="A76" s="348" t="s">
        <v>65</v>
      </c>
      <c r="B76" s="348" t="s">
        <v>657</v>
      </c>
      <c r="C76" s="1213" t="s">
        <v>661</v>
      </c>
      <c r="D76" s="476">
        <v>275835.95437974529</v>
      </c>
      <c r="E76" s="476">
        <v>298231.48913777003</v>
      </c>
    </row>
    <row r="77" spans="1:6">
      <c r="A77" s="348" t="s">
        <v>66</v>
      </c>
      <c r="B77" s="348" t="s">
        <v>656</v>
      </c>
      <c r="C77" s="1213" t="s">
        <v>662</v>
      </c>
      <c r="D77" s="476">
        <v>74555129</v>
      </c>
      <c r="E77" s="476">
        <v>79000057.514706835</v>
      </c>
    </row>
    <row r="78" spans="1:6">
      <c r="A78" s="341" t="s">
        <v>66</v>
      </c>
      <c r="B78" s="341" t="s">
        <v>657</v>
      </c>
      <c r="C78" s="341" t="s">
        <v>663</v>
      </c>
      <c r="D78" s="1214">
        <v>20770876</v>
      </c>
      <c r="E78" s="1214">
        <v>22086963.994549084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426726.09124050935</v>
      </c>
      <c r="C83" s="476">
        <v>426368.95069040911</v>
      </c>
    </row>
    <row r="84" spans="1:6">
      <c r="A84" s="341" t="s">
        <v>337</v>
      </c>
      <c r="B84" s="1214">
        <v>475166.09784198372</v>
      </c>
      <c r="C84" s="1214">
        <v>473660.0340676721</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4064.754369900475</v>
      </c>
    </row>
    <row r="91" spans="1:6">
      <c r="A91" s="348" t="s">
        <v>68</v>
      </c>
      <c r="B91" s="334">
        <v>2962.3651890760134</v>
      </c>
    </row>
    <row r="92" spans="1:6">
      <c r="A92" s="341" t="s">
        <v>69</v>
      </c>
      <c r="B92" s="342">
        <v>2870.8036206029929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92167.693599849939</v>
      </c>
      <c r="C3" s="43" t="s">
        <v>170</v>
      </c>
      <c r="D3" s="43"/>
      <c r="E3" s="154"/>
      <c r="F3" s="43"/>
      <c r="G3" s="43"/>
      <c r="H3" s="43"/>
      <c r="I3" s="43"/>
      <c r="J3" s="43"/>
      <c r="K3" s="96"/>
    </row>
    <row r="4" spans="1:11">
      <c r="A4" s="383" t="s">
        <v>171</v>
      </c>
      <c r="B4" s="49">
        <f>IF(ISERROR('SEAP template'!B69),0,'SEAP template'!B69)</f>
        <v>9897.9231795794803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0.19726672712258664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1988.1369999999999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0.19726672712258664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392.19327906131804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47755.534200000002</v>
      </c>
      <c r="C5" s="17">
        <f>IF(ISERROR('Eigen informatie GS &amp; warmtenet'!B57),0,'Eigen informatie GS &amp; warmtenet'!B57)</f>
        <v>0</v>
      </c>
      <c r="D5" s="30">
        <f>(SUM(HH_hh_gas_kWh,HH_rest_gas_kWh)/1000)*0.902</f>
        <v>73523.584519000025</v>
      </c>
      <c r="E5" s="17">
        <f>B46*B57</f>
        <v>1450.7572841087622</v>
      </c>
      <c r="F5" s="17">
        <f>B51*B62</f>
        <v>0</v>
      </c>
      <c r="G5" s="18"/>
      <c r="H5" s="17"/>
      <c r="I5" s="17"/>
      <c r="J5" s="17">
        <f>B50*B61+C50*C61</f>
        <v>0</v>
      </c>
      <c r="K5" s="17"/>
      <c r="L5" s="17"/>
      <c r="M5" s="17"/>
      <c r="N5" s="17">
        <f>B48*B59+C48*C59</f>
        <v>3537.9812960351278</v>
      </c>
      <c r="O5" s="17">
        <f>B69*B70*B71</f>
        <v>254.82333333333335</v>
      </c>
      <c r="P5" s="17">
        <f>B77*B78*B79/1000-B77*B78*B79/1000/B80</f>
        <v>438.5333333333333</v>
      </c>
    </row>
    <row r="6" spans="1:16">
      <c r="A6" s="16" t="s">
        <v>621</v>
      </c>
      <c r="B6" s="843">
        <f>kWh_PV_kleiner_dan_10kW</f>
        <v>2962.3651890760134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50717.899389076018</v>
      </c>
      <c r="C8" s="21">
        <f>C5</f>
        <v>0</v>
      </c>
      <c r="D8" s="21">
        <f>D5</f>
        <v>73523.584519000025</v>
      </c>
      <c r="E8" s="21">
        <f>E5</f>
        <v>1450.7572841087622</v>
      </c>
      <c r="F8" s="21">
        <f>F5</f>
        <v>0</v>
      </c>
      <c r="G8" s="21"/>
      <c r="H8" s="21"/>
      <c r="I8" s="21"/>
      <c r="J8" s="21">
        <f>J5</f>
        <v>0</v>
      </c>
      <c r="K8" s="21"/>
      <c r="L8" s="21">
        <f>L5</f>
        <v>0</v>
      </c>
      <c r="M8" s="21">
        <f>M5</f>
        <v>0</v>
      </c>
      <c r="N8" s="21">
        <f>N5</f>
        <v>3537.9812960351278</v>
      </c>
      <c r="O8" s="21">
        <f>O5</f>
        <v>254.82333333333335</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0.19726672712258664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10004.954019015662</v>
      </c>
      <c r="C12" s="23">
        <f ca="1">C10*C8</f>
        <v>0</v>
      </c>
      <c r="D12" s="23">
        <f>D8*D10</f>
        <v>14851.764072838007</v>
      </c>
      <c r="E12" s="23">
        <f>E10*E8</f>
        <v>329.32190349268905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9838</v>
      </c>
      <c r="C28" s="36"/>
      <c r="D28" s="228"/>
    </row>
    <row r="29" spans="1:7" s="15" customFormat="1">
      <c r="A29" s="230" t="s">
        <v>795</v>
      </c>
      <c r="B29" s="37">
        <f>SUM(HH_hh_gas_aantal,HH_rest_gas_aantal)</f>
        <v>8703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8703</v>
      </c>
      <c r="C32" s="167">
        <f>IF(ISERROR(B32/SUM($B$32,$B$34,$B$35,$B$36,$B$38,$B$39)*100),0,B32/SUM($B$32,$B$34,$B$35,$B$36,$B$38,$B$39)*100)</f>
        <v>88.670402445236888</v>
      </c>
      <c r="D32" s="233"/>
      <c r="G32" s="15"/>
    </row>
    <row r="33" spans="1:7">
      <c r="A33" s="171" t="s">
        <v>72</v>
      </c>
      <c r="B33" s="34" t="s">
        <v>111</v>
      </c>
      <c r="C33" s="167"/>
      <c r="D33" s="233"/>
      <c r="G33" s="15"/>
    </row>
    <row r="34" spans="1:7">
      <c r="A34" s="171" t="s">
        <v>73</v>
      </c>
      <c r="B34" s="33">
        <f>IF((($B$28-$B$32-$B$39-$B$77-$B$38)*C20/100)&lt;0,0,($B$28-$B$32-$B$39-$B$77-$B$38)*C20/100)</f>
        <v>68.517806670435277</v>
      </c>
      <c r="C34" s="167">
        <f>IF(ISERROR(B34/SUM($B$32,$B$34,$B$35,$B$36,$B$38,$B$39)*100),0,B34/SUM($B$32,$B$34,$B$35,$B$36,$B$38,$B$39)*100)</f>
        <v>0.69809278319343127</v>
      </c>
      <c r="D34" s="233"/>
      <c r="G34" s="15"/>
    </row>
    <row r="35" spans="1:7">
      <c r="A35" s="171" t="s">
        <v>74</v>
      </c>
      <c r="B35" s="33">
        <f>IF((($B$28-$B$32-$B$39-$B$77-$B$38)*C21/100)&lt;0,0,($B$28-$B$32-$B$39-$B$77-$B$38)*C21/100)</f>
        <v>994.45110231769354</v>
      </c>
      <c r="C35" s="167">
        <f>IF(ISERROR(B35/SUM($B$32,$B$34,$B$35,$B$36,$B$38,$B$39)*100),0,B35/SUM($B$32,$B$34,$B$35,$B$36,$B$38,$B$39)*100)</f>
        <v>10.131952137724845</v>
      </c>
      <c r="D35" s="233"/>
      <c r="G35" s="15"/>
    </row>
    <row r="36" spans="1:7">
      <c r="A36" s="171" t="s">
        <v>75</v>
      </c>
      <c r="B36" s="33">
        <f>IF((($B$28-$B$32-$B$39-$B$77-$B$38)*C22/100)&lt;0,0,($B$28-$B$32-$B$39-$B$77-$B$38)*C22/100)</f>
        <v>49.031091011871112</v>
      </c>
      <c r="C36" s="167">
        <f>IF(ISERROR(B36/SUM($B$32,$B$34,$B$35,$B$36,$B$38,$B$39)*100),0,B36/SUM($B$32,$B$34,$B$35,$B$36,$B$38,$B$39)*100)</f>
        <v>0.49955263384484067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8703</v>
      </c>
      <c r="C44" s="34" t="s">
        <v>111</v>
      </c>
      <c r="D44" s="174"/>
    </row>
    <row r="45" spans="1:7">
      <c r="A45" s="171" t="s">
        <v>72</v>
      </c>
      <c r="B45" s="33" t="str">
        <f t="shared" si="0"/>
        <v>-</v>
      </c>
      <c r="C45" s="34" t="s">
        <v>111</v>
      </c>
      <c r="D45" s="174"/>
    </row>
    <row r="46" spans="1:7">
      <c r="A46" s="171" t="s">
        <v>73</v>
      </c>
      <c r="B46" s="33">
        <f t="shared" si="0"/>
        <v>68.517806670435277</v>
      </c>
      <c r="C46" s="34" t="s">
        <v>111</v>
      </c>
      <c r="D46" s="174"/>
    </row>
    <row r="47" spans="1:7">
      <c r="A47" s="171" t="s">
        <v>74</v>
      </c>
      <c r="B47" s="33">
        <f t="shared" si="0"/>
        <v>994.45110231769354</v>
      </c>
      <c r="C47" s="34" t="s">
        <v>111</v>
      </c>
      <c r="D47" s="174"/>
    </row>
    <row r="48" spans="1:7">
      <c r="A48" s="171" t="s">
        <v>75</v>
      </c>
      <c r="B48" s="33">
        <f t="shared" si="0"/>
        <v>49.031091011871112</v>
      </c>
      <c r="C48" s="33">
        <f>B48*10</f>
        <v>490.31091011871115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32186.930300000004</v>
      </c>
      <c r="C5" s="17">
        <f>IF(ISERROR('Eigen informatie GS &amp; warmtenet'!B58),0,'Eigen informatie GS &amp; warmtenet'!B58)</f>
        <v>0</v>
      </c>
      <c r="D5" s="30">
        <f>SUM(D6:D12)</f>
        <v>33161.484831199996</v>
      </c>
      <c r="E5" s="17">
        <f>SUM(E6:E12)</f>
        <v>509.23386167155422</v>
      </c>
      <c r="F5" s="17">
        <f>SUM(F6:F12)</f>
        <v>5352.1740912838977</v>
      </c>
      <c r="G5" s="18"/>
      <c r="H5" s="17"/>
      <c r="I5" s="17"/>
      <c r="J5" s="17">
        <f>SUM(J6:J12)</f>
        <v>7.0349538037881201E-2</v>
      </c>
      <c r="K5" s="17"/>
      <c r="L5" s="17"/>
      <c r="M5" s="17"/>
      <c r="N5" s="17">
        <f>SUM(N6:N12)</f>
        <v>2797.7471083713058</v>
      </c>
      <c r="O5" s="17">
        <f>B38*B39*B40</f>
        <v>15.633333333333333</v>
      </c>
      <c r="P5" s="17">
        <f>B46*B47*B48/1000-B46*B47*B48/1000/B49</f>
        <v>19.066666666666666</v>
      </c>
      <c r="R5" s="32"/>
    </row>
    <row r="6" spans="1:18">
      <c r="A6" s="32" t="s">
        <v>54</v>
      </c>
      <c r="B6" s="37">
        <f>B26</f>
        <v>6976.19805</v>
      </c>
      <c r="C6" s="33"/>
      <c r="D6" s="37">
        <f>IF(ISERROR(TER_kantoor_gas_kWh/1000),0,TER_kantoor_gas_kWh/1000)*0.902</f>
        <v>13364.150162</v>
      </c>
      <c r="E6" s="33">
        <f>$C$26*'E Balans VL '!I12/100/3.6*1000000</f>
        <v>4.3724489130278509E-2</v>
      </c>
      <c r="F6" s="33">
        <f>$C$26*('E Balans VL '!L12+'E Balans VL '!N12)/100/3.6*1000000</f>
        <v>1048.3276333499352</v>
      </c>
      <c r="G6" s="34"/>
      <c r="H6" s="33"/>
      <c r="I6" s="33"/>
      <c r="J6" s="33">
        <f>$C$26*('E Balans VL '!D12+'E Balans VL '!E12)/100/3.6*1000000</f>
        <v>0</v>
      </c>
      <c r="K6" s="33"/>
      <c r="L6" s="33"/>
      <c r="M6" s="33"/>
      <c r="N6" s="33">
        <f>$C$26*'E Balans VL '!Y12/100/3.6*1000000</f>
        <v>6.6716990999518684</v>
      </c>
      <c r="O6" s="33"/>
      <c r="P6" s="33"/>
      <c r="R6" s="32"/>
    </row>
    <row r="7" spans="1:18">
      <c r="A7" s="32" t="s">
        <v>53</v>
      </c>
      <c r="B7" s="37">
        <f t="shared" ref="B7:B12" si="0">B27</f>
        <v>10760.67805</v>
      </c>
      <c r="C7" s="33"/>
      <c r="D7" s="37">
        <f>IF(ISERROR(TER_horeca_gas_kWh/1000),0,TER_horeca_gas_kWh/1000)*0.902</f>
        <v>9080.3217010000008</v>
      </c>
      <c r="E7" s="33">
        <f>$C$27*'E Balans VL '!I9/100/3.6*1000000</f>
        <v>154.09111728920007</v>
      </c>
      <c r="F7" s="33">
        <f>$C$27*('E Balans VL '!L9+'E Balans VL '!N9)/100/3.6*1000000</f>
        <v>1362.6567419649502</v>
      </c>
      <c r="G7" s="34"/>
      <c r="H7" s="33"/>
      <c r="I7" s="33"/>
      <c r="J7" s="33">
        <f>$C$27*('E Balans VL '!D9+'E Balans VL '!E9)/100/3.6*1000000</f>
        <v>0</v>
      </c>
      <c r="K7" s="33"/>
      <c r="L7" s="33"/>
      <c r="M7" s="33"/>
      <c r="N7" s="33">
        <f>$C$27*'E Balans VL '!Y9/100/3.6*1000000</f>
        <v>3.0934576867896793</v>
      </c>
      <c r="O7" s="33"/>
      <c r="P7" s="33"/>
      <c r="R7" s="32"/>
    </row>
    <row r="8" spans="1:18">
      <c r="A8" s="6" t="s">
        <v>52</v>
      </c>
      <c r="B8" s="37">
        <f t="shared" si="0"/>
        <v>9605.564550000001</v>
      </c>
      <c r="C8" s="33"/>
      <c r="D8" s="37">
        <f>IF(ISERROR(TER_handel_gas_kWh/1000),0,TER_handel_gas_kWh/1000)*0.902</f>
        <v>4928.2168099999999</v>
      </c>
      <c r="E8" s="33">
        <f>$C$28*'E Balans VL '!I13/100/3.6*1000000</f>
        <v>348.39264172334742</v>
      </c>
      <c r="F8" s="33">
        <f>$C$28*('E Balans VL '!L13+'E Balans VL '!N13)/100/3.6*1000000</f>
        <v>1850.1289948548274</v>
      </c>
      <c r="G8" s="34"/>
      <c r="H8" s="33"/>
      <c r="I8" s="33"/>
      <c r="J8" s="33">
        <f>$C$28*('E Balans VL '!D13+'E Balans VL '!E13)/100/3.6*1000000</f>
        <v>0</v>
      </c>
      <c r="K8" s="33"/>
      <c r="L8" s="33"/>
      <c r="M8" s="33"/>
      <c r="N8" s="33">
        <f>$C$28*'E Balans VL '!Y13/100/3.6*1000000</f>
        <v>13.305917043583582</v>
      </c>
      <c r="O8" s="33"/>
      <c r="P8" s="33"/>
      <c r="R8" s="32"/>
    </row>
    <row r="9" spans="1:18">
      <c r="A9" s="32" t="s">
        <v>51</v>
      </c>
      <c r="B9" s="37">
        <f t="shared" si="0"/>
        <v>1420.94255</v>
      </c>
      <c r="C9" s="33"/>
      <c r="D9" s="37">
        <f>IF(ISERROR(TER_gezond_gas_kWh/1000),0,TER_gezond_gas_kWh/1000)*0.902</f>
        <v>1545.1273980999999</v>
      </c>
      <c r="E9" s="33">
        <f>$C$29*'E Balans VL '!I10/100/3.6*1000000</f>
        <v>8.8965032903146515E-2</v>
      </c>
      <c r="F9" s="33">
        <f>$C$29*('E Balans VL '!L10+'E Balans VL '!N10)/100/3.6*1000000</f>
        <v>211.0853421605442</v>
      </c>
      <c r="G9" s="34"/>
      <c r="H9" s="33"/>
      <c r="I9" s="33"/>
      <c r="J9" s="33">
        <f>$C$29*('E Balans VL '!D10+'E Balans VL '!E10)/100/3.6*1000000</f>
        <v>0</v>
      </c>
      <c r="K9" s="33"/>
      <c r="L9" s="33"/>
      <c r="M9" s="33"/>
      <c r="N9" s="33">
        <f>$C$29*'E Balans VL '!Y10/100/3.6*1000000</f>
        <v>21.979276472635956</v>
      </c>
      <c r="O9" s="33"/>
      <c r="P9" s="33"/>
      <c r="R9" s="32"/>
    </row>
    <row r="10" spans="1:18">
      <c r="A10" s="32" t="s">
        <v>50</v>
      </c>
      <c r="B10" s="37">
        <f t="shared" si="0"/>
        <v>3241.0061000000001</v>
      </c>
      <c r="C10" s="33"/>
      <c r="D10" s="37">
        <f>IF(ISERROR(TER_ander_gas_kWh/1000),0,TER_ander_gas_kWh/1000)*0.902</f>
        <v>3905.8210520999996</v>
      </c>
      <c r="E10" s="33">
        <f>$C$30*'E Balans VL '!I14/100/3.6*1000000</f>
        <v>3.8631634572111122</v>
      </c>
      <c r="F10" s="33">
        <f>$C$30*('E Balans VL '!L14+'E Balans VL '!N14)/100/3.6*1000000</f>
        <v>847.99127957441067</v>
      </c>
      <c r="G10" s="34"/>
      <c r="H10" s="33"/>
      <c r="I10" s="33"/>
      <c r="J10" s="33">
        <f>$C$30*('E Balans VL '!D14+'E Balans VL '!E14)/100/3.6*1000000</f>
        <v>7.0349538037881201E-2</v>
      </c>
      <c r="K10" s="33"/>
      <c r="L10" s="33"/>
      <c r="M10" s="33"/>
      <c r="N10" s="33">
        <f>$C$30*'E Balans VL '!Y14/100/3.6*1000000</f>
        <v>2752.1830738170493</v>
      </c>
      <c r="O10" s="33"/>
      <c r="P10" s="33"/>
      <c r="R10" s="32"/>
    </row>
    <row r="11" spans="1:18">
      <c r="A11" s="32" t="s">
        <v>55</v>
      </c>
      <c r="B11" s="37">
        <f t="shared" si="0"/>
        <v>182.541</v>
      </c>
      <c r="C11" s="33"/>
      <c r="D11" s="37">
        <f>IF(ISERROR(TER_onderwijs_gas_kWh/1000),0,TER_onderwijs_gas_kWh/1000)*0.902</f>
        <v>337.84770800000001</v>
      </c>
      <c r="E11" s="33">
        <f>$C$31*'E Balans VL '!I11/100/3.6*1000000</f>
        <v>2.754249679762157</v>
      </c>
      <c r="F11" s="33">
        <f>$C$31*('E Balans VL '!L11+'E Balans VL '!N11)/100/3.6*1000000</f>
        <v>31.984099379230361</v>
      </c>
      <c r="G11" s="34"/>
      <c r="H11" s="33"/>
      <c r="I11" s="33"/>
      <c r="J11" s="33">
        <f>$C$31*('E Balans VL '!D11+'E Balans VL '!E11)/100/3.6*1000000</f>
        <v>0</v>
      </c>
      <c r="K11" s="33"/>
      <c r="L11" s="33"/>
      <c r="M11" s="33"/>
      <c r="N11" s="33">
        <f>$C$31*'E Balans VL '!Y11/100/3.6*1000000</f>
        <v>0.51368425129529349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32186.930300000004</v>
      </c>
      <c r="C16" s="21">
        <f t="shared" ca="1" si="1"/>
        <v>0</v>
      </c>
      <c r="D16" s="21">
        <f t="shared" ca="1" si="1"/>
        <v>33161.484831199996</v>
      </c>
      <c r="E16" s="21">
        <f t="shared" si="1"/>
        <v>509.23386167155422</v>
      </c>
      <c r="F16" s="21">
        <f t="shared" ca="1" si="1"/>
        <v>5352.1740912838977</v>
      </c>
      <c r="G16" s="21">
        <f t="shared" si="1"/>
        <v>0</v>
      </c>
      <c r="H16" s="21">
        <f t="shared" si="1"/>
        <v>0</v>
      </c>
      <c r="I16" s="21">
        <f t="shared" si="1"/>
        <v>0</v>
      </c>
      <c r="J16" s="21">
        <f t="shared" si="1"/>
        <v>7.0349538037881201E-2</v>
      </c>
      <c r="K16" s="21">
        <f t="shared" si="1"/>
        <v>0</v>
      </c>
      <c r="L16" s="21">
        <f t="shared" ca="1" si="1"/>
        <v>0</v>
      </c>
      <c r="M16" s="21">
        <f t="shared" si="1"/>
        <v>0</v>
      </c>
      <c r="N16" s="21">
        <f t="shared" ca="1" si="1"/>
        <v>2797.7471083713058</v>
      </c>
      <c r="O16" s="21">
        <f>O5</f>
        <v>15.633333333333333</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0.19726672712258664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6349.4103964038168</v>
      </c>
      <c r="C20" s="23">
        <f t="shared" ref="C20:P20" ca="1" si="2">C16*C18</f>
        <v>0</v>
      </c>
      <c r="D20" s="23">
        <f t="shared" ca="1" si="2"/>
        <v>6698.6199359023994</v>
      </c>
      <c r="E20" s="23">
        <f t="shared" si="2"/>
        <v>115.59608659944281</v>
      </c>
      <c r="F20" s="23">
        <f t="shared" ca="1" si="2"/>
        <v>1429.0304823728009</v>
      </c>
      <c r="G20" s="23">
        <f t="shared" si="2"/>
        <v>0</v>
      </c>
      <c r="H20" s="23">
        <f t="shared" si="2"/>
        <v>0</v>
      </c>
      <c r="I20" s="23">
        <f t="shared" si="2"/>
        <v>0</v>
      </c>
      <c r="J20" s="23">
        <f t="shared" si="2"/>
        <v>2.4903736465409942E-2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6976.19805</v>
      </c>
      <c r="C26" s="39">
        <f>IF(ISERROR(B26*3.6/1000000/'E Balans VL '!Z12*100),0,B26*3.6/1000000/'E Balans VL '!Z12*100)</f>
        <v>0.1474657755866281</v>
      </c>
      <c r="D26" s="237" t="s">
        <v>754</v>
      </c>
      <c r="F26" s="6"/>
    </row>
    <row r="27" spans="1:18">
      <c r="A27" s="231" t="s">
        <v>53</v>
      </c>
      <c r="B27" s="33">
        <f>IF(ISERROR(TER_horeca_ele_kWh/1000),0,TER_horeca_ele_kWh/1000)</f>
        <v>10760.67805</v>
      </c>
      <c r="C27" s="39">
        <f>IF(ISERROR(B27*3.6/1000000/'E Balans VL '!Z9*100),0,B27*3.6/1000000/'E Balans VL '!Z9*100)</f>
        <v>0.84826023997203648</v>
      </c>
      <c r="D27" s="237" t="s">
        <v>754</v>
      </c>
      <c r="F27" s="6"/>
    </row>
    <row r="28" spans="1:18">
      <c r="A28" s="171" t="s">
        <v>52</v>
      </c>
      <c r="B28" s="33">
        <f>IF(ISERROR(TER_handel_ele_kWh/1000),0,TER_handel_ele_kWh/1000)</f>
        <v>9605.564550000001</v>
      </c>
      <c r="C28" s="39">
        <f>IF(ISERROR(B28*3.6/1000000/'E Balans VL '!Z13*100),0,B28*3.6/1000000/'E Balans VL '!Z13*100)</f>
        <v>0.27879229407077244</v>
      </c>
      <c r="D28" s="237" t="s">
        <v>754</v>
      </c>
      <c r="F28" s="6"/>
    </row>
    <row r="29" spans="1:18">
      <c r="A29" s="231" t="s">
        <v>51</v>
      </c>
      <c r="B29" s="33">
        <f>IF(ISERROR(TER_gezond_ele_kWh/1000),0,TER_gezond_ele_kWh/1000)</f>
        <v>1420.94255</v>
      </c>
      <c r="C29" s="39">
        <f>IF(ISERROR(B29*3.6/1000000/'E Balans VL '!Z10*100),0,B29*3.6/1000000/'E Balans VL '!Z10*100)</f>
        <v>0.14964858300755862</v>
      </c>
      <c r="D29" s="237" t="s">
        <v>754</v>
      </c>
      <c r="F29" s="6"/>
    </row>
    <row r="30" spans="1:18">
      <c r="A30" s="231" t="s">
        <v>50</v>
      </c>
      <c r="B30" s="33">
        <f>IF(ISERROR(TER_ander_ele_kWh/1000),0,TER_ander_ele_kWh/1000)</f>
        <v>3241.0061000000001</v>
      </c>
      <c r="C30" s="39">
        <f>IF(ISERROR(B30*3.6/1000000/'E Balans VL '!Z14*100),0,B30*3.6/1000000/'E Balans VL '!Z14*100)</f>
        <v>0.23905731387902329</v>
      </c>
      <c r="D30" s="237" t="s">
        <v>754</v>
      </c>
      <c r="F30" s="6"/>
    </row>
    <row r="31" spans="1:18">
      <c r="A31" s="231" t="s">
        <v>55</v>
      </c>
      <c r="B31" s="33">
        <f>IF(ISERROR(TER_onderwijs_ele_kWh/1000),0,TER_onderwijs_ele_kWh/1000)</f>
        <v>182.541</v>
      </c>
      <c r="C31" s="39">
        <f>IF(ISERROR(B31*3.6/1000000/'E Balans VL '!Z11*100),0,B31*3.6/1000000/'E Balans VL '!Z11*100)</f>
        <v>4.5333481024009754E-2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2889.2617999999998</v>
      </c>
      <c r="C5" s="17">
        <f>IF(ISERROR('Eigen informatie GS &amp; warmtenet'!B59),0,'Eigen informatie GS &amp; warmtenet'!B59)</f>
        <v>0</v>
      </c>
      <c r="D5" s="30">
        <f>SUM(D6:D15)</f>
        <v>2819.5309515999998</v>
      </c>
      <c r="E5" s="17">
        <f>SUM(E6:E15)</f>
        <v>473.43954100608772</v>
      </c>
      <c r="F5" s="17">
        <f>SUM(F6:F15)</f>
        <v>1369.7965046908018</v>
      </c>
      <c r="G5" s="18"/>
      <c r="H5" s="17"/>
      <c r="I5" s="17"/>
      <c r="J5" s="17">
        <f>SUM(J6:J15)</f>
        <v>1.2642022044133814E-2</v>
      </c>
      <c r="K5" s="17"/>
      <c r="L5" s="17"/>
      <c r="M5" s="17"/>
      <c r="N5" s="17">
        <f>SUM(N6:N15)</f>
        <v>720.5011707158958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88.401200000000003</v>
      </c>
      <c r="C8" s="33"/>
      <c r="D8" s="37">
        <f>IF( ISERROR(IND_metaal_Gas_kWH/1000),0,IND_metaal_Gas_kWH/1000)*0.902</f>
        <v>72.032817999999992</v>
      </c>
      <c r="E8" s="33">
        <f>C30*'E Balans VL '!I18/100/3.6*1000000</f>
        <v>0.81276365530908612</v>
      </c>
      <c r="F8" s="33">
        <f>C30*'E Balans VL '!L18/100/3.6*1000000+C30*'E Balans VL '!N18/100/3.6*1000000</f>
        <v>8.2890893861304473</v>
      </c>
      <c r="G8" s="34"/>
      <c r="H8" s="33"/>
      <c r="I8" s="33"/>
      <c r="J8" s="40">
        <f>C30*'E Balans VL '!D18/100/3.6*1000000+C30*'E Balans VL '!E18/100/3.6*1000000</f>
        <v>0</v>
      </c>
      <c r="K8" s="33"/>
      <c r="L8" s="33"/>
      <c r="M8" s="33"/>
      <c r="N8" s="33">
        <f>C30*'E Balans VL '!Y18/100/3.6*1000000</f>
        <v>1.2611892071349664</v>
      </c>
      <c r="O8" s="33"/>
      <c r="P8" s="33"/>
      <c r="R8" s="32"/>
    </row>
    <row r="9" spans="1:18">
      <c r="A9" s="6" t="s">
        <v>33</v>
      </c>
      <c r="B9" s="37">
        <f t="shared" si="0"/>
        <v>1607.7706000000001</v>
      </c>
      <c r="C9" s="33"/>
      <c r="D9" s="37">
        <f>IF( ISERROR(IND_andere_gas_kWh/1000),0,IND_andere_gas_kWh/1000)*0.902</f>
        <v>1628.2920236</v>
      </c>
      <c r="E9" s="33">
        <f>C31*'E Balans VL '!I19/100/3.6*1000000</f>
        <v>469.98264598181527</v>
      </c>
      <c r="F9" s="33">
        <f>C31*'E Balans VL '!L19/100/3.6*1000000+C31*'E Balans VL '!N19/100/3.6*1000000</f>
        <v>1291.965374152174</v>
      </c>
      <c r="G9" s="34"/>
      <c r="H9" s="33"/>
      <c r="I9" s="33"/>
      <c r="J9" s="40">
        <f>C31*'E Balans VL '!D19/100/3.6*1000000+C31*'E Balans VL '!E19/100/3.6*1000000</f>
        <v>0</v>
      </c>
      <c r="K9" s="33"/>
      <c r="L9" s="33"/>
      <c r="M9" s="33"/>
      <c r="N9" s="33">
        <f>C31*'E Balans VL '!Y19/100/3.6*1000000</f>
        <v>531.23234099413048</v>
      </c>
      <c r="O9" s="33"/>
      <c r="P9" s="33"/>
      <c r="R9" s="32"/>
    </row>
    <row r="10" spans="1:18">
      <c r="A10" s="6" t="s">
        <v>41</v>
      </c>
      <c r="B10" s="37">
        <f t="shared" si="0"/>
        <v>1038.1410000000001</v>
      </c>
      <c r="C10" s="33"/>
      <c r="D10" s="37">
        <f>IF( ISERROR(IND_voed_gas_kWh/1000),0,IND_voed_gas_kWh/1000)*0.902</f>
        <v>1119.2061100000001</v>
      </c>
      <c r="E10" s="33">
        <f>C32*'E Balans VL '!I20/100/3.6*1000000</f>
        <v>2.1962033820668512</v>
      </c>
      <c r="F10" s="33">
        <f>C32*'E Balans VL '!L20/100/3.6*1000000+C32*'E Balans VL '!N20/100/3.6*1000000</f>
        <v>66.006065209934889</v>
      </c>
      <c r="G10" s="34"/>
      <c r="H10" s="33"/>
      <c r="I10" s="33"/>
      <c r="J10" s="40">
        <f>C32*'E Balans VL '!D20/100/3.6*1000000+C32*'E Balans VL '!E20/100/3.6*1000000</f>
        <v>0</v>
      </c>
      <c r="K10" s="33"/>
      <c r="L10" s="33"/>
      <c r="M10" s="33"/>
      <c r="N10" s="33">
        <f>C32*'E Balans VL '!Y20/100/3.6*1000000</f>
        <v>71.641973625711159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4.0350000000000001</v>
      </c>
      <c r="C12" s="33"/>
      <c r="D12" s="37">
        <f>IF( ISERROR(IND_min_gas_kWh/1000),0,IND_min_gas_kWh/1000)*0.902</f>
        <v>0</v>
      </c>
      <c r="E12" s="33">
        <f>C34*'E Balans VL '!I22/100/3.6*1000000</f>
        <v>0.11695803522523131</v>
      </c>
      <c r="F12" s="33">
        <f>C34*'E Balans VL '!L22/100/3.6*1000000+C34*'E Balans VL '!N22/100/3.6*1000000</f>
        <v>1.3872785965162142</v>
      </c>
      <c r="G12" s="34"/>
      <c r="H12" s="33"/>
      <c r="I12" s="33"/>
      <c r="J12" s="40">
        <f>C34*'E Balans VL '!D22/100/3.6*1000000+C34*'E Balans VL '!E22/100/3.6*1000000</f>
        <v>6.6307209291128211E-3</v>
      </c>
      <c r="K12" s="33"/>
      <c r="L12" s="33"/>
      <c r="M12" s="33"/>
      <c r="N12" s="33">
        <f>C34*'E Balans VL '!Y22/100/3.6*1000000</f>
        <v>0.88332780833033353</v>
      </c>
      <c r="O12" s="33"/>
      <c r="P12" s="33"/>
      <c r="R12" s="32"/>
    </row>
    <row r="13" spans="1:18">
      <c r="A13" s="6" t="s">
        <v>39</v>
      </c>
      <c r="B13" s="37">
        <f t="shared" si="0"/>
        <v>38.868000000000002</v>
      </c>
      <c r="C13" s="33"/>
      <c r="D13" s="37">
        <f>IF( ISERROR(IND_papier_gas_kWh/1000),0,IND_papier_gas_kWh/1000)*0.902</f>
        <v>0</v>
      </c>
      <c r="E13" s="33">
        <f>C35*'E Balans VL '!I23/100/3.6*1000000</f>
        <v>5.514480295740546E-2</v>
      </c>
      <c r="F13" s="33">
        <f>C35*'E Balans VL '!L23/100/3.6*1000000+C35*'E Balans VL '!N23/100/3.6*1000000</f>
        <v>0.94891403310313505</v>
      </c>
      <c r="G13" s="34"/>
      <c r="H13" s="33"/>
      <c r="I13" s="33"/>
      <c r="J13" s="40">
        <f>C35*'E Balans VL '!D23/100/3.6*1000000+C35*'E Balans VL '!E23/100/3.6*1000000</f>
        <v>6.0113011150209929E-3</v>
      </c>
      <c r="K13" s="33"/>
      <c r="L13" s="33"/>
      <c r="M13" s="33"/>
      <c r="N13" s="33">
        <f>C35*'E Balans VL '!Y23/100/3.6*1000000</f>
        <v>112.98007531243643</v>
      </c>
      <c r="O13" s="33"/>
      <c r="P13" s="33"/>
      <c r="R13" s="32"/>
    </row>
    <row r="14" spans="1:18">
      <c r="A14" s="6" t="s">
        <v>34</v>
      </c>
      <c r="B14" s="37">
        <f t="shared" si="0"/>
        <v>112.04600000000001</v>
      </c>
      <c r="C14" s="33"/>
      <c r="D14" s="37">
        <f>IF( ISERROR(IND_chemie_gas_kWh/1000),0,IND_chemie_gas_kWh/1000)*0.902</f>
        <v>0</v>
      </c>
      <c r="E14" s="33">
        <f>C36*'E Balans VL '!I24/100/3.6*1000000</f>
        <v>0.27582514871386804</v>
      </c>
      <c r="F14" s="33">
        <f>C36*'E Balans VL '!L24/100/3.6*1000000+C36*'E Balans VL '!N24/100/3.6*1000000</f>
        <v>1.1997833129432762</v>
      </c>
      <c r="G14" s="34"/>
      <c r="H14" s="33"/>
      <c r="I14" s="33"/>
      <c r="J14" s="40">
        <f>C36*'E Balans VL '!D24/100/3.6*1000000+C36*'E Balans VL '!E24/100/3.6*1000000</f>
        <v>0</v>
      </c>
      <c r="K14" s="33"/>
      <c r="L14" s="33"/>
      <c r="M14" s="33"/>
      <c r="N14" s="33">
        <f>C36*'E Balans VL '!Y24/100/3.6*1000000</f>
        <v>2.5022637681523983</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2889.2617999999998</v>
      </c>
      <c r="C18" s="21">
        <f>C5+C16</f>
        <v>0</v>
      </c>
      <c r="D18" s="21">
        <f>MAX((D5+D16),0)</f>
        <v>2819.5309515999998</v>
      </c>
      <c r="E18" s="21">
        <f>MAX((E5+E16),0)</f>
        <v>473.43954100608772</v>
      </c>
      <c r="F18" s="21">
        <f>MAX((F5+F16),0)</f>
        <v>1369.7965046908018</v>
      </c>
      <c r="G18" s="21"/>
      <c r="H18" s="21"/>
      <c r="I18" s="21"/>
      <c r="J18" s="21">
        <f>MAX((J5+J16),0)</f>
        <v>1.2642022044133814E-2</v>
      </c>
      <c r="K18" s="21"/>
      <c r="L18" s="21">
        <f>MAX((L5+L16),0)</f>
        <v>0</v>
      </c>
      <c r="M18" s="21"/>
      <c r="N18" s="21">
        <f>MAX((N5+N16),0)</f>
        <v>720.5011707158958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0.19726672712258664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569.95521908631349</v>
      </c>
      <c r="C22" s="23">
        <f ca="1">C18*C20</f>
        <v>0</v>
      </c>
      <c r="D22" s="23">
        <f>D18*D20</f>
        <v>569.54525222320001</v>
      </c>
      <c r="E22" s="23">
        <f>E18*E20</f>
        <v>107.47077580838192</v>
      </c>
      <c r="F22" s="23">
        <f>F18*F20</f>
        <v>365.7356667524441</v>
      </c>
      <c r="G22" s="23"/>
      <c r="H22" s="23"/>
      <c r="I22" s="23"/>
      <c r="J22" s="23">
        <f>J18*J20</f>
        <v>4.47527580362337E-3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88.401200000000003</v>
      </c>
      <c r="C30" s="39">
        <f>IF(ISERROR(B30*3.6/1000000/'E Balans VL '!Z18*100),0,B30*3.6/1000000/'E Balans VL '!Z18*100)</f>
        <v>5.0099226795024742E-3</v>
      </c>
      <c r="D30" s="237" t="s">
        <v>754</v>
      </c>
    </row>
    <row r="31" spans="1:18">
      <c r="A31" s="6" t="s">
        <v>33</v>
      </c>
      <c r="B31" s="37">
        <f>IF( ISERROR(IND_ander_ele_kWh/1000),0,IND_ander_ele_kWh/1000)</f>
        <v>1607.7706000000001</v>
      </c>
      <c r="C31" s="39">
        <f>IF(ISERROR(B31*3.6/1000000/'E Balans VL '!Z19*100),0,B31*3.6/1000000/'E Balans VL '!Z19*100)</f>
        <v>7.292177977573977E-2</v>
      </c>
      <c r="D31" s="237" t="s">
        <v>754</v>
      </c>
    </row>
    <row r="32" spans="1:18">
      <c r="A32" s="171" t="s">
        <v>41</v>
      </c>
      <c r="B32" s="37">
        <f>IF( ISERROR(IND_voed_ele_kWh/1000),0,IND_voed_ele_kWh/1000)</f>
        <v>1038.1410000000001</v>
      </c>
      <c r="C32" s="39">
        <f>IF(ISERROR(B32*3.6/1000000/'E Balans VL '!Z20*100),0,B32*3.6/1000000/'E Balans VL '!Z20*100)</f>
        <v>3.2114413892215601E-2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4.0350000000000001</v>
      </c>
      <c r="C34" s="39">
        <f>IF(ISERROR(B34*3.6/1000000/'E Balans VL '!Z22*100),0,B34*3.6/1000000/'E Balans VL '!Z22*100)</f>
        <v>7.2577060944987093E-4</v>
      </c>
      <c r="D34" s="237" t="s">
        <v>754</v>
      </c>
    </row>
    <row r="35" spans="1:5">
      <c r="A35" s="171" t="s">
        <v>39</v>
      </c>
      <c r="B35" s="37">
        <f>IF( ISERROR(IND_papier_ele_kWh/1000),0,IND_papier_ele_kWh/1000)</f>
        <v>38.868000000000002</v>
      </c>
      <c r="C35" s="39">
        <f>IF(ISERROR(B35*3.6/1000000/'E Balans VL '!Z22*100),0,B35*3.6/1000000/'E Balans VL '!Z22*100)</f>
        <v>6.9911405323661909E-3</v>
      </c>
      <c r="D35" s="237" t="s">
        <v>754</v>
      </c>
    </row>
    <row r="36" spans="1:5">
      <c r="A36" s="171" t="s">
        <v>34</v>
      </c>
      <c r="B36" s="37">
        <f>IF( ISERROR(IND_chemie_ele_kWh/1000),0,IND_chemie_ele_kWh/1000)</f>
        <v>112.04600000000001</v>
      </c>
      <c r="C36" s="39">
        <f>IF(ISERROR(B36*3.6/1000000/'E Balans VL '!Z24*100),0,B36*3.6/1000000/'E Balans VL '!Z24*100)</f>
        <v>3.4167335103428187E-3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2644.26</v>
      </c>
      <c r="C5" s="17">
        <f>'Eigen informatie GS &amp; warmtenet'!B60</f>
        <v>0</v>
      </c>
      <c r="D5" s="30">
        <f>IF(ISERROR(SUM(LB_lb_gas_kWh,LB_rest_gas_kWh,onbekend_gas_kWh)/1000),0,SUM(LB_lb_gas_kWh,LB_rest_gas_kWh,onbekend_gas_kWh)/1000)*0.902</f>
        <v>400.31030600000003</v>
      </c>
      <c r="E5" s="17">
        <f>B17*'E Balans VL '!I25/3.6*1000000/100</f>
        <v>77.722877902242004</v>
      </c>
      <c r="F5" s="17">
        <f>B17*('E Balans VL '!L25/3.6*1000000+'E Balans VL '!N25/3.6*1000000)/100</f>
        <v>11015.844271689473</v>
      </c>
      <c r="G5" s="18"/>
      <c r="H5" s="17"/>
      <c r="I5" s="17"/>
      <c r="J5" s="17">
        <f>('E Balans VL '!D25+'E Balans VL '!E25)/3.6*1000000*landbouw!B17/100</f>
        <v>383.09648786647551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2644.26</v>
      </c>
      <c r="C8" s="21">
        <f>C5+C6</f>
        <v>0</v>
      </c>
      <c r="D8" s="21">
        <f>MAX((D5+D6),0)</f>
        <v>400.31030600000003</v>
      </c>
      <c r="E8" s="21">
        <f>MAX((E5+E6),0)</f>
        <v>77.722877902242004</v>
      </c>
      <c r="F8" s="21">
        <f>MAX((F5+F6),0)</f>
        <v>11015.844271689473</v>
      </c>
      <c r="G8" s="21"/>
      <c r="H8" s="21"/>
      <c r="I8" s="21"/>
      <c r="J8" s="21">
        <f>MAX((J5+J6),0)</f>
        <v>383.09648786647551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0.19726672712258664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521.62451586117095</v>
      </c>
      <c r="C12" s="23">
        <f ca="1">C8*C10</f>
        <v>0</v>
      </c>
      <c r="D12" s="23">
        <f>D8*D10</f>
        <v>80.862681812000005</v>
      </c>
      <c r="E12" s="23">
        <f>E8*E10</f>
        <v>17.643093283808934</v>
      </c>
      <c r="F12" s="23">
        <f>F8*F10</f>
        <v>2941.2304205410896</v>
      </c>
      <c r="G12" s="23"/>
      <c r="H12" s="23"/>
      <c r="I12" s="23"/>
      <c r="J12" s="23">
        <f>J8*J10</f>
        <v>135.61615670473233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0.37522879011274435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747.4501539425595</v>
      </c>
      <c r="C26" s="247">
        <f>B26*'GWP N2O_CH4'!B5</f>
        <v>15696.453232793749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291.28749287911501</v>
      </c>
      <c r="C27" s="247">
        <f>B27*'GWP N2O_CH4'!B5</f>
        <v>6117.0373504614154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9.8767025819997141</v>
      </c>
      <c r="C28" s="247">
        <f>B28*'GWP N2O_CH4'!B4</f>
        <v>3061.7778004199113</v>
      </c>
      <c r="D28" s="50"/>
    </row>
    <row r="29" spans="1:4">
      <c r="A29" s="41" t="s">
        <v>277</v>
      </c>
      <c r="B29" s="247">
        <f>B34*'ha_N2O bodem landbouw'!B4</f>
        <v>37.568788668005112</v>
      </c>
      <c r="C29" s="247">
        <f>B29*'GWP N2O_CH4'!B4</f>
        <v>11646.324487081585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8.5730681062333725E-3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2.3848061717142324E-4</v>
      </c>
      <c r="C5" s="463" t="s">
        <v>211</v>
      </c>
      <c r="D5" s="448">
        <f>SUM(D6:D11)</f>
        <v>7.5315521126224048E-4</v>
      </c>
      <c r="E5" s="448">
        <f>SUM(E6:E11)</f>
        <v>1.1346053300459206E-3</v>
      </c>
      <c r="F5" s="461" t="s">
        <v>211</v>
      </c>
      <c r="G5" s="448">
        <f>SUM(G6:G11)</f>
        <v>0.55865173733534579</v>
      </c>
      <c r="H5" s="448">
        <f>SUM(H6:H11)</f>
        <v>8.7138231956473688E-2</v>
      </c>
      <c r="I5" s="463" t="s">
        <v>211</v>
      </c>
      <c r="J5" s="463" t="s">
        <v>211</v>
      </c>
      <c r="K5" s="463" t="s">
        <v>211</v>
      </c>
      <c r="L5" s="463" t="s">
        <v>211</v>
      </c>
      <c r="M5" s="448">
        <f>SUM(M6:M11)</f>
        <v>3.5226109909267299E-2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1.2292077770611578E-4</v>
      </c>
      <c r="C6" s="449"/>
      <c r="D6" s="962">
        <f>vkm_2011_GW_PW*SUMIFS(TableVerdeelsleutelVkm[CNG],TableVerdeelsleutelVkm[Voertuigtype],"Lichte voertuigen")*SUMIFS(TableECFTransport[EnergieConsumptieFactor (PJ per km)],TableECFTransport[Index],CONCATENATE($A6,"_CNG_CNG"))</f>
        <v>3.6869178300925161E-4</v>
      </c>
      <c r="E6" s="962">
        <f>vkm_2011_GW_PW*SUMIFS(TableVerdeelsleutelVkm[LPG],TableVerdeelsleutelVkm[Voertuigtype],"Lichte voertuigen")*SUMIFS(TableECFTransport[EnergieConsumptieFactor (PJ per km)],TableECFTransport[Index],CONCATENATE($A6,"_LPG_LPG"))</f>
        <v>5.0368593555528052E-4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0.13023009361243959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4.1927113352580626E-2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8.8530224135332149E-3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9.3209366226357449E-2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2.8403352007306484E-5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5.4468458605110535E-3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9.9709942398927633E-6</v>
      </c>
      <c r="C8" s="449"/>
      <c r="D8" s="451">
        <f>vkm_2011_NGW_PW*SUMIFS(TableVerdeelsleutelVkm[CNG],TableVerdeelsleutelVkm[Voertuigtype],"Lichte voertuigen")*SUMIFS(TableECFTransport[EnergieConsumptieFactor (PJ per km)],TableECFTransport[Index],CONCATENATE($A8,"_CNG_CNG"))</f>
        <v>5.3175443115475754E-5</v>
      </c>
      <c r="E8" s="451">
        <f>vkm_2011_NGW_PW*SUMIFS(TableVerdeelsleutelVkm[LPG],TableVerdeelsleutelVkm[Voertuigtype],"Lichte voertuigen")*SUMIFS(TableECFTransport[EnergieConsumptieFactor (PJ per km)],TableECFTransport[Index],CONCATENATE($A8,"_LPG_LPG"))</f>
        <v>6.7277785187009635E-5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1.6210253971450518E-2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5.8763954318236987E-3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1.121480651427543E-3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3.3190341342480248E-3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9.5214307213597846E-7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1.9395157586817732E-4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1.0558884522541469E-4</v>
      </c>
      <c r="C10" s="449"/>
      <c r="D10" s="451">
        <f>vkm_2011_SW_PW*SUMIFS(TableVerdeelsleutelVkm[CNG],TableVerdeelsleutelVkm[Voertuigtype],"Lichte voertuigen")*SUMIFS(TableECFTransport[EnergieConsumptieFactor (PJ per km)],TableECFTransport[Index],CONCATENATE($A10,"_CNG_CNG"))</f>
        <v>3.3128798513751306E-4</v>
      </c>
      <c r="E10" s="451">
        <f>vkm_2011_SW_PW*SUMIFS(TableVerdeelsleutelVkm[LPG],TableVerdeelsleutelVkm[Voertuigtype],"Lichte voertuigen")*SUMIFS(TableECFTransport[EnergieConsumptieFactor (PJ per km)],TableECFTransport[Index],CONCATENATE($A10,"_LPG_LPG"))</f>
        <v>5.6364160930363048E-4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0.12992066798592114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3.9244238690150708E-2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8.7553419911480072E-3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0.18576232140492913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6.1128986839221574E-5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1.0855467416779303E-2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66.244615880950903</v>
      </c>
      <c r="C14" s="21"/>
      <c r="D14" s="21">
        <f t="shared" ref="D14:M14" si="0">((D5)*10^9/3600)+D12</f>
        <v>209.20978090617794</v>
      </c>
      <c r="E14" s="21">
        <f t="shared" si="0"/>
        <v>315.16814723497794</v>
      </c>
      <c r="F14" s="21"/>
      <c r="G14" s="21">
        <f t="shared" si="0"/>
        <v>155181.03814870716</v>
      </c>
      <c r="H14" s="21">
        <f t="shared" si="0"/>
        <v>24205.064432353804</v>
      </c>
      <c r="I14" s="21"/>
      <c r="J14" s="21"/>
      <c r="K14" s="21"/>
      <c r="L14" s="21"/>
      <c r="M14" s="21">
        <f t="shared" si="0"/>
        <v>9785.0305303520272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0.19726672712258664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13.067858564328111</v>
      </c>
      <c r="C18" s="23"/>
      <c r="D18" s="23">
        <f t="shared" ref="D18:M18" si="1">D14*D16</f>
        <v>42.260375743047945</v>
      </c>
      <c r="E18" s="23">
        <f t="shared" si="1"/>
        <v>71.54316942234</v>
      </c>
      <c r="F18" s="23"/>
      <c r="G18" s="23">
        <f t="shared" si="1"/>
        <v>41433.337185704811</v>
      </c>
      <c r="H18" s="23">
        <f t="shared" si="1"/>
        <v>6027.0610436560974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6.0298577816147734E-3</v>
      </c>
      <c r="C50" s="321">
        <f t="shared" ref="C50:P50" si="2">SUM(C51:C52)</f>
        <v>0</v>
      </c>
      <c r="D50" s="321">
        <f t="shared" si="2"/>
        <v>0</v>
      </c>
      <c r="E50" s="321">
        <f t="shared" si="2"/>
        <v>0</v>
      </c>
      <c r="F50" s="321">
        <f t="shared" si="2"/>
        <v>0</v>
      </c>
      <c r="G50" s="321">
        <f t="shared" si="2"/>
        <v>5.3597466333603098E-3</v>
      </c>
      <c r="H50" s="321">
        <f t="shared" si="2"/>
        <v>0</v>
      </c>
      <c r="I50" s="321">
        <f t="shared" si="2"/>
        <v>0</v>
      </c>
      <c r="J50" s="321">
        <f t="shared" si="2"/>
        <v>0</v>
      </c>
      <c r="K50" s="321">
        <f t="shared" si="2"/>
        <v>0</v>
      </c>
      <c r="L50" s="321">
        <f t="shared" si="2"/>
        <v>0</v>
      </c>
      <c r="M50" s="321">
        <f t="shared" si="2"/>
        <v>3.0440994776395066E-4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5.3597466333603098E-3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3.0440994776395066E-4</v>
      </c>
      <c r="N51" s="323"/>
      <c r="O51" s="323"/>
      <c r="P51" s="326"/>
    </row>
    <row r="52" spans="1:18">
      <c r="A52" s="4" t="s">
        <v>330</v>
      </c>
      <c r="B52" s="963">
        <f>vkm_2011_tram*SUMIFS(TableECFTransport[EnergieConsumptieFactor (PJ per km)],TableECFTransport[Index],"Tram_gemiddeld_Electric_Electric")</f>
        <v>6.0298577816147734E-3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1674.9604948929925</v>
      </c>
      <c r="C54" s="21">
        <f t="shared" ref="C54:P54" si="3">(C50)*10^9/3600</f>
        <v>0</v>
      </c>
      <c r="D54" s="21">
        <f t="shared" si="3"/>
        <v>0</v>
      </c>
      <c r="E54" s="21">
        <f t="shared" si="3"/>
        <v>0</v>
      </c>
      <c r="F54" s="21">
        <f t="shared" si="3"/>
        <v>0</v>
      </c>
      <c r="G54" s="21">
        <f t="shared" si="3"/>
        <v>1488.8185092667527</v>
      </c>
      <c r="H54" s="21">
        <f t="shared" si="3"/>
        <v>0</v>
      </c>
      <c r="I54" s="21">
        <f t="shared" si="3"/>
        <v>0</v>
      </c>
      <c r="J54" s="21">
        <f t="shared" si="3"/>
        <v>0</v>
      </c>
      <c r="K54" s="21">
        <f t="shared" si="3"/>
        <v>0</v>
      </c>
      <c r="L54" s="21">
        <f t="shared" si="3"/>
        <v>0</v>
      </c>
      <c r="M54" s="21">
        <f t="shared" si="3"/>
        <v>84.558318823319638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0.19726672712258664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330.41397488716865</v>
      </c>
      <c r="C58" s="23">
        <f t="shared" ref="C58:P58" ca="1" si="4">C54*C56</f>
        <v>0</v>
      </c>
      <c r="D58" s="23">
        <f t="shared" si="4"/>
        <v>0</v>
      </c>
      <c r="E58" s="23">
        <f t="shared" si="4"/>
        <v>0</v>
      </c>
      <c r="F58" s="23">
        <f t="shared" si="4"/>
        <v>0</v>
      </c>
      <c r="G58" s="23">
        <f t="shared" si="4"/>
        <v>397.51454197422299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4064.754369900475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5833.1688096790058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9897.9231795794803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34175.067300000002</v>
      </c>
      <c r="D10" s="718">
        <f ca="1">tertiair!C16</f>
        <v>0</v>
      </c>
      <c r="E10" s="718">
        <f ca="1">tertiair!D16</f>
        <v>33161.484831199996</v>
      </c>
      <c r="F10" s="718">
        <f>tertiair!E16</f>
        <v>509.23386167155422</v>
      </c>
      <c r="G10" s="718">
        <f ca="1">tertiair!F16</f>
        <v>5352.1740912838977</v>
      </c>
      <c r="H10" s="718">
        <f>tertiair!G16</f>
        <v>0</v>
      </c>
      <c r="I10" s="718">
        <f>tertiair!H16</f>
        <v>0</v>
      </c>
      <c r="J10" s="718">
        <f>tertiair!I16</f>
        <v>0</v>
      </c>
      <c r="K10" s="718">
        <f>tertiair!J16</f>
        <v>7.0349538037881201E-2</v>
      </c>
      <c r="L10" s="718">
        <f>tertiair!K16</f>
        <v>0</v>
      </c>
      <c r="M10" s="718">
        <f ca="1">tertiair!L16</f>
        <v>0</v>
      </c>
      <c r="N10" s="718">
        <f>tertiair!M16</f>
        <v>0</v>
      </c>
      <c r="O10" s="718">
        <f ca="1">tertiair!N16</f>
        <v>2797.7471083713058</v>
      </c>
      <c r="P10" s="718">
        <f>tertiair!O16</f>
        <v>15.633333333333333</v>
      </c>
      <c r="Q10" s="719">
        <f>tertiair!P16</f>
        <v>19.066666666666666</v>
      </c>
      <c r="R10" s="721">
        <f ca="1">SUM(C10:Q10)</f>
        <v>76030.477542064807</v>
      </c>
      <c r="S10" s="67"/>
    </row>
    <row r="11" spans="1:19" s="474" customFormat="1">
      <c r="A11" s="870" t="s">
        <v>225</v>
      </c>
      <c r="B11" s="875"/>
      <c r="C11" s="718">
        <f>huishoudens!B8</f>
        <v>50717.899389076018</v>
      </c>
      <c r="D11" s="718">
        <f>huishoudens!C8</f>
        <v>0</v>
      </c>
      <c r="E11" s="718">
        <f>huishoudens!D8</f>
        <v>73523.584519000025</v>
      </c>
      <c r="F11" s="718">
        <f>huishoudens!E8</f>
        <v>1450.7572841087622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3537.9812960351278</v>
      </c>
      <c r="P11" s="718">
        <f>huishoudens!O8</f>
        <v>254.82333333333335</v>
      </c>
      <c r="Q11" s="719">
        <f>huishoudens!P8</f>
        <v>438.5333333333333</v>
      </c>
      <c r="R11" s="721">
        <f>SUM(C11:Q11)</f>
        <v>129923.57915488661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2889.2617999999998</v>
      </c>
      <c r="D13" s="718">
        <f>industrie!C18</f>
        <v>0</v>
      </c>
      <c r="E13" s="718">
        <f>industrie!D18</f>
        <v>2819.5309515999998</v>
      </c>
      <c r="F13" s="718">
        <f>industrie!E18</f>
        <v>473.43954100608772</v>
      </c>
      <c r="G13" s="718">
        <f>industrie!F18</f>
        <v>1369.7965046908018</v>
      </c>
      <c r="H13" s="718">
        <f>industrie!G18</f>
        <v>0</v>
      </c>
      <c r="I13" s="718">
        <f>industrie!H18</f>
        <v>0</v>
      </c>
      <c r="J13" s="718">
        <f>industrie!I18</f>
        <v>0</v>
      </c>
      <c r="K13" s="718">
        <f>industrie!J18</f>
        <v>1.2642022044133814E-2</v>
      </c>
      <c r="L13" s="718">
        <f>industrie!K18</f>
        <v>0</v>
      </c>
      <c r="M13" s="718">
        <f>industrie!L18</f>
        <v>0</v>
      </c>
      <c r="N13" s="718">
        <f>industrie!M18</f>
        <v>0</v>
      </c>
      <c r="O13" s="718">
        <f>industrie!N18</f>
        <v>720.5011707158958</v>
      </c>
      <c r="P13" s="718">
        <f>industrie!O18</f>
        <v>0</v>
      </c>
      <c r="Q13" s="719">
        <f>industrie!P18</f>
        <v>0</v>
      </c>
      <c r="R13" s="721">
        <f>SUM(C13:Q13)</f>
        <v>8272.5426100348304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87782.228489076006</v>
      </c>
      <c r="D15" s="723">
        <f t="shared" ref="D15:Q15" ca="1" si="0">SUM(D9:D14)</f>
        <v>0</v>
      </c>
      <c r="E15" s="723">
        <f t="shared" ca="1" si="0"/>
        <v>109504.60030180002</v>
      </c>
      <c r="F15" s="723">
        <f t="shared" si="0"/>
        <v>2433.4306867864043</v>
      </c>
      <c r="G15" s="723">
        <f t="shared" ca="1" si="0"/>
        <v>6721.9705959746998</v>
      </c>
      <c r="H15" s="723">
        <f t="shared" si="0"/>
        <v>0</v>
      </c>
      <c r="I15" s="723">
        <f t="shared" si="0"/>
        <v>0</v>
      </c>
      <c r="J15" s="723">
        <f t="shared" si="0"/>
        <v>0</v>
      </c>
      <c r="K15" s="723">
        <f t="shared" si="0"/>
        <v>8.2991560082015012E-2</v>
      </c>
      <c r="L15" s="723">
        <f t="shared" si="0"/>
        <v>0</v>
      </c>
      <c r="M15" s="723">
        <f t="shared" ca="1" si="0"/>
        <v>0</v>
      </c>
      <c r="N15" s="723">
        <f t="shared" si="0"/>
        <v>0</v>
      </c>
      <c r="O15" s="723">
        <f t="shared" ca="1" si="0"/>
        <v>7056.2295751223292</v>
      </c>
      <c r="P15" s="723">
        <f t="shared" si="0"/>
        <v>270.45666666666671</v>
      </c>
      <c r="Q15" s="724">
        <f t="shared" si="0"/>
        <v>457.59999999999997</v>
      </c>
      <c r="R15" s="725">
        <f ca="1">SUM(R9:R14)</f>
        <v>214226.59930698626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1674.9604948929925</v>
      </c>
      <c r="D18" s="718">
        <f>transport!C54</f>
        <v>0</v>
      </c>
      <c r="E18" s="718">
        <f>transport!D54</f>
        <v>0</v>
      </c>
      <c r="F18" s="718">
        <f>transport!E54</f>
        <v>0</v>
      </c>
      <c r="G18" s="718">
        <f>transport!F54</f>
        <v>0</v>
      </c>
      <c r="H18" s="718">
        <f>transport!G54</f>
        <v>1488.8185092667527</v>
      </c>
      <c r="I18" s="718">
        <f>transport!H54</f>
        <v>0</v>
      </c>
      <c r="J18" s="718">
        <f>transport!I54</f>
        <v>0</v>
      </c>
      <c r="K18" s="718">
        <f>transport!J54</f>
        <v>0</v>
      </c>
      <c r="L18" s="718">
        <f>transport!K54</f>
        <v>0</v>
      </c>
      <c r="M18" s="718">
        <f>transport!L54</f>
        <v>0</v>
      </c>
      <c r="N18" s="718">
        <f>transport!M54</f>
        <v>84.558318823319638</v>
      </c>
      <c r="O18" s="718">
        <f>transport!N54</f>
        <v>0</v>
      </c>
      <c r="P18" s="718">
        <f>transport!O54</f>
        <v>0</v>
      </c>
      <c r="Q18" s="719">
        <f>transport!P54</f>
        <v>0</v>
      </c>
      <c r="R18" s="721">
        <f>SUM(C18:Q18)</f>
        <v>3248.337322983065</v>
      </c>
      <c r="S18" s="67"/>
    </row>
    <row r="19" spans="1:19" s="474" customFormat="1" ht="15" thickBot="1">
      <c r="A19" s="870" t="s">
        <v>307</v>
      </c>
      <c r="B19" s="875"/>
      <c r="C19" s="727">
        <f>transport!B14</f>
        <v>66.244615880950903</v>
      </c>
      <c r="D19" s="727">
        <f>transport!C14</f>
        <v>0</v>
      </c>
      <c r="E19" s="727">
        <f>transport!D14</f>
        <v>209.20978090617794</v>
      </c>
      <c r="F19" s="727">
        <f>transport!E14</f>
        <v>315.16814723497794</v>
      </c>
      <c r="G19" s="727">
        <f>transport!F14</f>
        <v>0</v>
      </c>
      <c r="H19" s="727">
        <f>transport!G14</f>
        <v>155181.03814870716</v>
      </c>
      <c r="I19" s="727">
        <f>transport!H14</f>
        <v>24205.064432353804</v>
      </c>
      <c r="J19" s="727">
        <f>transport!I14</f>
        <v>0</v>
      </c>
      <c r="K19" s="727">
        <f>transport!J14</f>
        <v>0</v>
      </c>
      <c r="L19" s="727">
        <f>transport!K14</f>
        <v>0</v>
      </c>
      <c r="M19" s="727">
        <f>transport!L14</f>
        <v>0</v>
      </c>
      <c r="N19" s="727">
        <f>transport!M14</f>
        <v>9785.0305303520272</v>
      </c>
      <c r="O19" s="727">
        <f>transport!N14</f>
        <v>0</v>
      </c>
      <c r="P19" s="727">
        <f>transport!O14</f>
        <v>0</v>
      </c>
      <c r="Q19" s="728">
        <f>transport!P14</f>
        <v>0</v>
      </c>
      <c r="R19" s="729">
        <f>SUM(C19:Q19)</f>
        <v>189761.75565543509</v>
      </c>
      <c r="S19" s="67"/>
    </row>
    <row r="20" spans="1:19" s="474" customFormat="1" ht="15.75" thickBot="1">
      <c r="A20" s="730" t="s">
        <v>230</v>
      </c>
      <c r="B20" s="878"/>
      <c r="C20" s="873">
        <f>SUM(C17:C19)</f>
        <v>1741.2051107739435</v>
      </c>
      <c r="D20" s="731">
        <f t="shared" ref="D20:R20" si="1">SUM(D17:D19)</f>
        <v>0</v>
      </c>
      <c r="E20" s="731">
        <f t="shared" si="1"/>
        <v>209.20978090617794</v>
      </c>
      <c r="F20" s="731">
        <f t="shared" si="1"/>
        <v>315.16814723497794</v>
      </c>
      <c r="G20" s="731">
        <f t="shared" si="1"/>
        <v>0</v>
      </c>
      <c r="H20" s="731">
        <f t="shared" si="1"/>
        <v>156669.8566579739</v>
      </c>
      <c r="I20" s="731">
        <f t="shared" si="1"/>
        <v>24205.064432353804</v>
      </c>
      <c r="J20" s="731">
        <f t="shared" si="1"/>
        <v>0</v>
      </c>
      <c r="K20" s="731">
        <f t="shared" si="1"/>
        <v>0</v>
      </c>
      <c r="L20" s="731">
        <f t="shared" si="1"/>
        <v>0</v>
      </c>
      <c r="M20" s="731">
        <f t="shared" si="1"/>
        <v>0</v>
      </c>
      <c r="N20" s="731">
        <f t="shared" si="1"/>
        <v>9869.5888491753467</v>
      </c>
      <c r="O20" s="731">
        <f t="shared" si="1"/>
        <v>0</v>
      </c>
      <c r="P20" s="731">
        <f t="shared" si="1"/>
        <v>0</v>
      </c>
      <c r="Q20" s="732">
        <f t="shared" si="1"/>
        <v>0</v>
      </c>
      <c r="R20" s="733">
        <f t="shared" si="1"/>
        <v>193010.09297841816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2644.26</v>
      </c>
      <c r="D22" s="727">
        <f>+landbouw!C8</f>
        <v>0</v>
      </c>
      <c r="E22" s="727">
        <f>+landbouw!D8</f>
        <v>400.31030600000003</v>
      </c>
      <c r="F22" s="727">
        <f>+landbouw!E8</f>
        <v>77.722877902242004</v>
      </c>
      <c r="G22" s="727">
        <f>+landbouw!F8</f>
        <v>11015.844271689473</v>
      </c>
      <c r="H22" s="727">
        <f>+landbouw!G8</f>
        <v>0</v>
      </c>
      <c r="I22" s="727">
        <f>+landbouw!H8</f>
        <v>0</v>
      </c>
      <c r="J22" s="727">
        <f>+landbouw!I8</f>
        <v>0</v>
      </c>
      <c r="K22" s="727">
        <f>+landbouw!J8</f>
        <v>383.09648786647551</v>
      </c>
      <c r="L22" s="727">
        <f>+landbouw!K8</f>
        <v>0</v>
      </c>
      <c r="M22" s="727">
        <f>+landbouw!L8</f>
        <v>0</v>
      </c>
      <c r="N22" s="727">
        <f>+landbouw!M8</f>
        <v>0</v>
      </c>
      <c r="O22" s="727">
        <f>+landbouw!N8</f>
        <v>0</v>
      </c>
      <c r="P22" s="727">
        <f>+landbouw!O8</f>
        <v>0</v>
      </c>
      <c r="Q22" s="728">
        <f>+landbouw!P8</f>
        <v>0</v>
      </c>
      <c r="R22" s="729">
        <f>SUM(C22:Q22)</f>
        <v>14521.233943458192</v>
      </c>
      <c r="S22" s="67"/>
    </row>
    <row r="23" spans="1:19" s="474" customFormat="1" ht="17.25" thickTop="1" thickBot="1">
      <c r="A23" s="734" t="s">
        <v>116</v>
      </c>
      <c r="B23" s="864"/>
      <c r="C23" s="735">
        <f ca="1">C20+C15+C22</f>
        <v>92167.693599849939</v>
      </c>
      <c r="D23" s="735">
        <f t="shared" ref="D23:Q23" ca="1" si="2">D20+D15+D22</f>
        <v>0</v>
      </c>
      <c r="E23" s="735">
        <f t="shared" ca="1" si="2"/>
        <v>110114.1203887062</v>
      </c>
      <c r="F23" s="735">
        <f t="shared" si="2"/>
        <v>2826.3217119236242</v>
      </c>
      <c r="G23" s="735">
        <f t="shared" ca="1" si="2"/>
        <v>17737.814867664172</v>
      </c>
      <c r="H23" s="735">
        <f t="shared" si="2"/>
        <v>156669.8566579739</v>
      </c>
      <c r="I23" s="735">
        <f t="shared" si="2"/>
        <v>24205.064432353804</v>
      </c>
      <c r="J23" s="735">
        <f t="shared" si="2"/>
        <v>0</v>
      </c>
      <c r="K23" s="735">
        <f t="shared" si="2"/>
        <v>383.17947942655752</v>
      </c>
      <c r="L23" s="735">
        <f t="shared" si="2"/>
        <v>0</v>
      </c>
      <c r="M23" s="735">
        <f t="shared" ca="1" si="2"/>
        <v>0</v>
      </c>
      <c r="N23" s="735">
        <f t="shared" si="2"/>
        <v>9869.5888491753467</v>
      </c>
      <c r="O23" s="735">
        <f t="shared" ca="1" si="2"/>
        <v>7056.2295751223292</v>
      </c>
      <c r="P23" s="735">
        <f t="shared" si="2"/>
        <v>270.45666666666671</v>
      </c>
      <c r="Q23" s="736">
        <f t="shared" si="2"/>
        <v>457.59999999999997</v>
      </c>
      <c r="R23" s="737">
        <f ca="1">R20+R15+R22</f>
        <v>421757.92622886261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6741.603675465135</v>
      </c>
      <c r="D36" s="718">
        <f ca="1">tertiair!C20</f>
        <v>0</v>
      </c>
      <c r="E36" s="718">
        <f ca="1">tertiair!D20</f>
        <v>6698.6199359023994</v>
      </c>
      <c r="F36" s="718">
        <f>tertiair!E20</f>
        <v>115.59608659944281</v>
      </c>
      <c r="G36" s="718">
        <f ca="1">tertiair!F20</f>
        <v>1429.0304823728009</v>
      </c>
      <c r="H36" s="718">
        <f>tertiair!G20</f>
        <v>0</v>
      </c>
      <c r="I36" s="718">
        <f>tertiair!H20</f>
        <v>0</v>
      </c>
      <c r="J36" s="718">
        <f>tertiair!I20</f>
        <v>0</v>
      </c>
      <c r="K36" s="718">
        <f>tertiair!J20</f>
        <v>2.4903736465409942E-2</v>
      </c>
      <c r="L36" s="718">
        <f>tertiair!K20</f>
        <v>0</v>
      </c>
      <c r="M36" s="718">
        <f ca="1">tertiair!L20</f>
        <v>0</v>
      </c>
      <c r="N36" s="718">
        <f>tertiair!M20</f>
        <v>0</v>
      </c>
      <c r="O36" s="718">
        <f ca="1">tertiair!N20</f>
        <v>0</v>
      </c>
      <c r="P36" s="718">
        <f>tertiair!O20</f>
        <v>0</v>
      </c>
      <c r="Q36" s="828">
        <f>tertiair!P20</f>
        <v>0</v>
      </c>
      <c r="R36" s="917">
        <f ca="1">SUM(C36:Q36)</f>
        <v>14984.875084076242</v>
      </c>
    </row>
    <row r="37" spans="1:18">
      <c r="A37" s="885" t="s">
        <v>225</v>
      </c>
      <c r="B37" s="892"/>
      <c r="C37" s="718">
        <f ca="1">huishoudens!B12</f>
        <v>10004.954019015662</v>
      </c>
      <c r="D37" s="718">
        <f ca="1">huishoudens!C12</f>
        <v>0</v>
      </c>
      <c r="E37" s="718">
        <f>huishoudens!D12</f>
        <v>14851.764072838007</v>
      </c>
      <c r="F37" s="718">
        <f>huishoudens!E12</f>
        <v>329.32190349268905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25186.039995346357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569.95521908631349</v>
      </c>
      <c r="D39" s="718">
        <f ca="1">industrie!C22</f>
        <v>0</v>
      </c>
      <c r="E39" s="718">
        <f>industrie!D22</f>
        <v>569.54525222320001</v>
      </c>
      <c r="F39" s="718">
        <f>industrie!E22</f>
        <v>107.47077580838192</v>
      </c>
      <c r="G39" s="718">
        <f>industrie!F22</f>
        <v>365.7356667524441</v>
      </c>
      <c r="H39" s="718">
        <f>industrie!G22</f>
        <v>0</v>
      </c>
      <c r="I39" s="718">
        <f>industrie!H22</f>
        <v>0</v>
      </c>
      <c r="J39" s="718">
        <f>industrie!I22</f>
        <v>0</v>
      </c>
      <c r="K39" s="718">
        <f>industrie!J22</f>
        <v>4.47527580362337E-3</v>
      </c>
      <c r="L39" s="718">
        <f>industrie!K22</f>
        <v>0</v>
      </c>
      <c r="M39" s="718">
        <f>industrie!L22</f>
        <v>0</v>
      </c>
      <c r="N39" s="718">
        <f>industrie!M22</f>
        <v>0</v>
      </c>
      <c r="O39" s="718">
        <f>industrie!N22</f>
        <v>0</v>
      </c>
      <c r="P39" s="718">
        <f>industrie!O22</f>
        <v>0</v>
      </c>
      <c r="Q39" s="828">
        <f>industrie!P22</f>
        <v>0</v>
      </c>
      <c r="R39" s="918">
        <f ca="1">SUM(C39:Q39)</f>
        <v>1612.7113891461431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17316.512913567112</v>
      </c>
      <c r="D41" s="763">
        <f t="shared" ref="D41:R41" ca="1" si="4">SUM(D35:D40)</f>
        <v>0</v>
      </c>
      <c r="E41" s="763">
        <f t="shared" ca="1" si="4"/>
        <v>22119.929260963607</v>
      </c>
      <c r="F41" s="763">
        <f t="shared" si="4"/>
        <v>552.38876590051382</v>
      </c>
      <c r="G41" s="763">
        <f t="shared" ca="1" si="4"/>
        <v>1794.766149125245</v>
      </c>
      <c r="H41" s="763">
        <f t="shared" si="4"/>
        <v>0</v>
      </c>
      <c r="I41" s="763">
        <f t="shared" si="4"/>
        <v>0</v>
      </c>
      <c r="J41" s="763">
        <f t="shared" si="4"/>
        <v>0</v>
      </c>
      <c r="K41" s="763">
        <f t="shared" si="4"/>
        <v>2.9379012269033312E-2</v>
      </c>
      <c r="L41" s="763">
        <f t="shared" si="4"/>
        <v>0</v>
      </c>
      <c r="M41" s="763">
        <f t="shared" ca="1" si="4"/>
        <v>0</v>
      </c>
      <c r="N41" s="763">
        <f t="shared" si="4"/>
        <v>0</v>
      </c>
      <c r="O41" s="763">
        <f t="shared" ca="1" si="4"/>
        <v>0</v>
      </c>
      <c r="P41" s="763">
        <f t="shared" si="4"/>
        <v>0</v>
      </c>
      <c r="Q41" s="764">
        <f t="shared" si="4"/>
        <v>0</v>
      </c>
      <c r="R41" s="765">
        <f t="shared" ca="1" si="4"/>
        <v>41783.626468568742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330.41397488716865</v>
      </c>
      <c r="D44" s="718">
        <f ca="1">transport!C58</f>
        <v>0</v>
      </c>
      <c r="E44" s="718">
        <f>transport!D58</f>
        <v>0</v>
      </c>
      <c r="F44" s="718">
        <f>transport!E58</f>
        <v>0</v>
      </c>
      <c r="G44" s="718">
        <f>transport!F58</f>
        <v>0</v>
      </c>
      <c r="H44" s="718">
        <f>transport!G58</f>
        <v>397.51454197422299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727.9285168613917</v>
      </c>
    </row>
    <row r="45" spans="1:18" ht="15" thickBot="1">
      <c r="A45" s="888" t="s">
        <v>307</v>
      </c>
      <c r="B45" s="898"/>
      <c r="C45" s="727">
        <f ca="1">transport!B18</f>
        <v>13.067858564328111</v>
      </c>
      <c r="D45" s="727">
        <f>transport!C18</f>
        <v>0</v>
      </c>
      <c r="E45" s="727">
        <f>transport!D18</f>
        <v>42.260375743047945</v>
      </c>
      <c r="F45" s="727">
        <f>transport!E18</f>
        <v>71.54316942234</v>
      </c>
      <c r="G45" s="727">
        <f>transport!F18</f>
        <v>0</v>
      </c>
      <c r="H45" s="727">
        <f>transport!G18</f>
        <v>41433.337185704811</v>
      </c>
      <c r="I45" s="727">
        <f>transport!H18</f>
        <v>6027.0610436560974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47587.269633090626</v>
      </c>
    </row>
    <row r="46" spans="1:18" ht="15.75" thickBot="1">
      <c r="A46" s="886" t="s">
        <v>230</v>
      </c>
      <c r="B46" s="899"/>
      <c r="C46" s="763">
        <f t="shared" ref="C46:R46" ca="1" si="5">SUM(C43:C45)</f>
        <v>343.48183345149675</v>
      </c>
      <c r="D46" s="763">
        <f t="shared" ca="1" si="5"/>
        <v>0</v>
      </c>
      <c r="E46" s="763">
        <f t="shared" si="5"/>
        <v>42.260375743047945</v>
      </c>
      <c r="F46" s="763">
        <f t="shared" si="5"/>
        <v>71.54316942234</v>
      </c>
      <c r="G46" s="763">
        <f t="shared" si="5"/>
        <v>0</v>
      </c>
      <c r="H46" s="763">
        <f t="shared" si="5"/>
        <v>41830.851727679037</v>
      </c>
      <c r="I46" s="763">
        <f t="shared" si="5"/>
        <v>6027.0610436560974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48315.198149952019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521.62451586117095</v>
      </c>
      <c r="D48" s="718">
        <f ca="1">+landbouw!C12</f>
        <v>0</v>
      </c>
      <c r="E48" s="718">
        <f>+landbouw!D12</f>
        <v>80.862681812000005</v>
      </c>
      <c r="F48" s="718">
        <f>+landbouw!E12</f>
        <v>17.643093283808934</v>
      </c>
      <c r="G48" s="718">
        <f>+landbouw!F12</f>
        <v>2941.2304205410896</v>
      </c>
      <c r="H48" s="718">
        <f>+landbouw!G12</f>
        <v>0</v>
      </c>
      <c r="I48" s="718">
        <f>+landbouw!H12</f>
        <v>0</v>
      </c>
      <c r="J48" s="718">
        <f>+landbouw!I12</f>
        <v>0</v>
      </c>
      <c r="K48" s="718">
        <f>+landbouw!J12</f>
        <v>135.61615670473233</v>
      </c>
      <c r="L48" s="718">
        <f>+landbouw!K12</f>
        <v>0</v>
      </c>
      <c r="M48" s="718">
        <f>+landbouw!L12</f>
        <v>0</v>
      </c>
      <c r="N48" s="718">
        <f>+landbouw!M12</f>
        <v>0</v>
      </c>
      <c r="O48" s="718">
        <f>+landbouw!N12</f>
        <v>0</v>
      </c>
      <c r="P48" s="718">
        <f>+landbouw!O12</f>
        <v>0</v>
      </c>
      <c r="Q48" s="719">
        <f>+landbouw!P12</f>
        <v>0</v>
      </c>
      <c r="R48" s="761">
        <f ca="1">SUM(C48:Q48)</f>
        <v>3696.9768682028021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18181.61926287978</v>
      </c>
      <c r="D53" s="773">
        <f t="shared" ref="D53:Q53" ca="1" si="6">D41+D46+D48</f>
        <v>0</v>
      </c>
      <c r="E53" s="773">
        <f t="shared" ca="1" si="6"/>
        <v>22243.052318518654</v>
      </c>
      <c r="F53" s="773">
        <f t="shared" si="6"/>
        <v>641.57502860666284</v>
      </c>
      <c r="G53" s="773">
        <f t="shared" ca="1" si="6"/>
        <v>4735.9965696663348</v>
      </c>
      <c r="H53" s="773">
        <f t="shared" si="6"/>
        <v>41830.851727679037</v>
      </c>
      <c r="I53" s="773">
        <f t="shared" si="6"/>
        <v>6027.0610436560974</v>
      </c>
      <c r="J53" s="773">
        <f t="shared" si="6"/>
        <v>0</v>
      </c>
      <c r="K53" s="773">
        <f t="shared" si="6"/>
        <v>135.64553571700137</v>
      </c>
      <c r="L53" s="773">
        <f t="shared" si="6"/>
        <v>0</v>
      </c>
      <c r="M53" s="773">
        <f t="shared" ca="1" si="6"/>
        <v>0</v>
      </c>
      <c r="N53" s="773">
        <f t="shared" si="6"/>
        <v>0</v>
      </c>
      <c r="O53" s="773">
        <f t="shared" ca="1" si="6"/>
        <v>0</v>
      </c>
      <c r="P53" s="773">
        <f>P41+P46+P48</f>
        <v>0</v>
      </c>
      <c r="Q53" s="774">
        <f t="shared" si="6"/>
        <v>0</v>
      </c>
      <c r="R53" s="775">
        <f ca="1">R41+R46+R48</f>
        <v>93795.801486723576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0.19726672712258672</v>
      </c>
      <c r="D55" s="836">
        <f t="shared" ca="1" si="7"/>
        <v>0</v>
      </c>
      <c r="E55" s="836">
        <f t="shared" ca="1" si="7"/>
        <v>0.20200000000000001</v>
      </c>
      <c r="F55" s="836">
        <f t="shared" si="7"/>
        <v>0.22700000000000006</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4064.754369900475</v>
      </c>
      <c r="C64" s="795">
        <f>'lokale energieproductie'!B4</f>
        <v>4064.754369900475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5833.1688096790058</v>
      </c>
      <c r="C66" s="795">
        <f>'lokale energieproductie'!B6</f>
        <v>5833.1688096790058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9897.9231795794803</v>
      </c>
      <c r="C69" s="803">
        <f>SUM(C64:C68)</f>
        <v>9897.9231795794803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50717.899389076018</v>
      </c>
      <c r="C4" s="478">
        <f>huishoudens!C8</f>
        <v>0</v>
      </c>
      <c r="D4" s="478">
        <f>huishoudens!D8</f>
        <v>73523.584519000025</v>
      </c>
      <c r="E4" s="478">
        <f>huishoudens!E8</f>
        <v>1450.7572841087622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3537.9812960351278</v>
      </c>
      <c r="O4" s="478">
        <f>huishoudens!O8</f>
        <v>254.82333333333335</v>
      </c>
      <c r="P4" s="479">
        <f>huishoudens!P8</f>
        <v>438.5333333333333</v>
      </c>
      <c r="Q4" s="480">
        <f>SUM(B4:P4)</f>
        <v>129923.57915488661</v>
      </c>
    </row>
    <row r="5" spans="1:17">
      <c r="A5" s="477" t="s">
        <v>156</v>
      </c>
      <c r="B5" s="478">
        <f ca="1">tertiair!B16</f>
        <v>32186.930300000004</v>
      </c>
      <c r="C5" s="478">
        <f ca="1">tertiair!C16</f>
        <v>0</v>
      </c>
      <c r="D5" s="478">
        <f ca="1">tertiair!D16</f>
        <v>33161.484831199996</v>
      </c>
      <c r="E5" s="478">
        <f>tertiair!E16</f>
        <v>509.23386167155422</v>
      </c>
      <c r="F5" s="478">
        <f ca="1">tertiair!F16</f>
        <v>5352.1740912838977</v>
      </c>
      <c r="G5" s="478">
        <f>tertiair!G16</f>
        <v>0</v>
      </c>
      <c r="H5" s="478">
        <f>tertiair!H16</f>
        <v>0</v>
      </c>
      <c r="I5" s="478">
        <f>tertiair!I16</f>
        <v>0</v>
      </c>
      <c r="J5" s="478">
        <f>tertiair!J16</f>
        <v>7.0349538037881201E-2</v>
      </c>
      <c r="K5" s="478">
        <f>tertiair!K16</f>
        <v>0</v>
      </c>
      <c r="L5" s="478">
        <f ca="1">tertiair!L16</f>
        <v>0</v>
      </c>
      <c r="M5" s="478">
        <f>tertiair!M16</f>
        <v>0</v>
      </c>
      <c r="N5" s="478">
        <f ca="1">tertiair!N16</f>
        <v>2797.7471083713058</v>
      </c>
      <c r="O5" s="478">
        <f>tertiair!O16</f>
        <v>15.633333333333333</v>
      </c>
      <c r="P5" s="479">
        <f>tertiair!P16</f>
        <v>19.066666666666666</v>
      </c>
      <c r="Q5" s="477">
        <f t="shared" ref="Q5:Q13" ca="1" si="0">SUM(B5:P5)</f>
        <v>74042.340542064805</v>
      </c>
    </row>
    <row r="6" spans="1:17">
      <c r="A6" s="477" t="s">
        <v>194</v>
      </c>
      <c r="B6" s="478">
        <f>'openbare verlichting'!B8</f>
        <v>1988.1369999999999</v>
      </c>
      <c r="C6" s="478"/>
      <c r="D6" s="478"/>
      <c r="E6" s="478"/>
      <c r="F6" s="478"/>
      <c r="G6" s="478"/>
      <c r="H6" s="478"/>
      <c r="I6" s="478"/>
      <c r="J6" s="478"/>
      <c r="K6" s="478"/>
      <c r="L6" s="478"/>
      <c r="M6" s="478"/>
      <c r="N6" s="478"/>
      <c r="O6" s="478"/>
      <c r="P6" s="479"/>
      <c r="Q6" s="477">
        <f t="shared" si="0"/>
        <v>1988.1369999999999</v>
      </c>
    </row>
    <row r="7" spans="1:17">
      <c r="A7" s="477" t="s">
        <v>112</v>
      </c>
      <c r="B7" s="478">
        <f>landbouw!B8</f>
        <v>2644.26</v>
      </c>
      <c r="C7" s="478">
        <f>landbouw!C8</f>
        <v>0</v>
      </c>
      <c r="D7" s="478">
        <f>landbouw!D8</f>
        <v>400.31030600000003</v>
      </c>
      <c r="E7" s="478">
        <f>landbouw!E8</f>
        <v>77.722877902242004</v>
      </c>
      <c r="F7" s="478">
        <f>landbouw!F8</f>
        <v>11015.844271689473</v>
      </c>
      <c r="G7" s="478">
        <f>landbouw!G8</f>
        <v>0</v>
      </c>
      <c r="H7" s="478">
        <f>landbouw!H8</f>
        <v>0</v>
      </c>
      <c r="I7" s="478">
        <f>landbouw!I8</f>
        <v>0</v>
      </c>
      <c r="J7" s="478">
        <f>landbouw!J8</f>
        <v>383.09648786647551</v>
      </c>
      <c r="K7" s="478">
        <f>landbouw!K8</f>
        <v>0</v>
      </c>
      <c r="L7" s="478">
        <f>landbouw!L8</f>
        <v>0</v>
      </c>
      <c r="M7" s="478">
        <f>landbouw!M8</f>
        <v>0</v>
      </c>
      <c r="N7" s="478">
        <f>landbouw!N8</f>
        <v>0</v>
      </c>
      <c r="O7" s="478">
        <f>landbouw!O8</f>
        <v>0</v>
      </c>
      <c r="P7" s="479">
        <f>landbouw!P8</f>
        <v>0</v>
      </c>
      <c r="Q7" s="477">
        <f t="shared" si="0"/>
        <v>14521.233943458192</v>
      </c>
    </row>
    <row r="8" spans="1:17">
      <c r="A8" s="477" t="s">
        <v>635</v>
      </c>
      <c r="B8" s="478">
        <f>industrie!B18</f>
        <v>2889.2617999999998</v>
      </c>
      <c r="C8" s="478">
        <f>industrie!C18</f>
        <v>0</v>
      </c>
      <c r="D8" s="478">
        <f>industrie!D18</f>
        <v>2819.5309515999998</v>
      </c>
      <c r="E8" s="478">
        <f>industrie!E18</f>
        <v>473.43954100608772</v>
      </c>
      <c r="F8" s="478">
        <f>industrie!F18</f>
        <v>1369.7965046908018</v>
      </c>
      <c r="G8" s="478">
        <f>industrie!G18</f>
        <v>0</v>
      </c>
      <c r="H8" s="478">
        <f>industrie!H18</f>
        <v>0</v>
      </c>
      <c r="I8" s="478">
        <f>industrie!I18</f>
        <v>0</v>
      </c>
      <c r="J8" s="478">
        <f>industrie!J18</f>
        <v>1.2642022044133814E-2</v>
      </c>
      <c r="K8" s="478">
        <f>industrie!K18</f>
        <v>0</v>
      </c>
      <c r="L8" s="478">
        <f>industrie!L18</f>
        <v>0</v>
      </c>
      <c r="M8" s="478">
        <f>industrie!M18</f>
        <v>0</v>
      </c>
      <c r="N8" s="478">
        <f>industrie!N18</f>
        <v>720.5011707158958</v>
      </c>
      <c r="O8" s="478">
        <f>industrie!O18</f>
        <v>0</v>
      </c>
      <c r="P8" s="479">
        <f>industrie!P18</f>
        <v>0</v>
      </c>
      <c r="Q8" s="477">
        <f t="shared" si="0"/>
        <v>8272.5426100348304</v>
      </c>
    </row>
    <row r="9" spans="1:17" s="483" customFormat="1">
      <c r="A9" s="481" t="s">
        <v>561</v>
      </c>
      <c r="B9" s="482">
        <f>transport!B14</f>
        <v>66.244615880950903</v>
      </c>
      <c r="C9" s="482">
        <f>transport!C14</f>
        <v>0</v>
      </c>
      <c r="D9" s="482">
        <f>transport!D14</f>
        <v>209.20978090617794</v>
      </c>
      <c r="E9" s="482">
        <f>transport!E14</f>
        <v>315.16814723497794</v>
      </c>
      <c r="F9" s="482">
        <f>transport!F14</f>
        <v>0</v>
      </c>
      <c r="G9" s="482">
        <f>transport!G14</f>
        <v>155181.03814870716</v>
      </c>
      <c r="H9" s="482">
        <f>transport!H14</f>
        <v>24205.064432353804</v>
      </c>
      <c r="I9" s="482">
        <f>transport!I14</f>
        <v>0</v>
      </c>
      <c r="J9" s="482">
        <f>transport!J14</f>
        <v>0</v>
      </c>
      <c r="K9" s="482">
        <f>transport!K14</f>
        <v>0</v>
      </c>
      <c r="L9" s="482">
        <f>transport!L14</f>
        <v>0</v>
      </c>
      <c r="M9" s="482">
        <f>transport!M14</f>
        <v>9785.0305303520272</v>
      </c>
      <c r="N9" s="482">
        <f>transport!N14</f>
        <v>0</v>
      </c>
      <c r="O9" s="482">
        <f>transport!O14</f>
        <v>0</v>
      </c>
      <c r="P9" s="482">
        <f>transport!P14</f>
        <v>0</v>
      </c>
      <c r="Q9" s="481">
        <f>SUM(B9:P9)</f>
        <v>189761.75565543509</v>
      </c>
    </row>
    <row r="10" spans="1:17">
      <c r="A10" s="477" t="s">
        <v>551</v>
      </c>
      <c r="B10" s="478">
        <f>transport!B54</f>
        <v>1674.9604948929925</v>
      </c>
      <c r="C10" s="478">
        <f>transport!C54</f>
        <v>0</v>
      </c>
      <c r="D10" s="478">
        <f>transport!D54</f>
        <v>0</v>
      </c>
      <c r="E10" s="478">
        <f>transport!E54</f>
        <v>0</v>
      </c>
      <c r="F10" s="478">
        <f>transport!F54</f>
        <v>0</v>
      </c>
      <c r="G10" s="478">
        <f>transport!G54</f>
        <v>1488.8185092667527</v>
      </c>
      <c r="H10" s="478">
        <f>transport!H54</f>
        <v>0</v>
      </c>
      <c r="I10" s="478">
        <f>transport!I54</f>
        <v>0</v>
      </c>
      <c r="J10" s="478">
        <f>transport!J54</f>
        <v>0</v>
      </c>
      <c r="K10" s="478">
        <f>transport!K54</f>
        <v>0</v>
      </c>
      <c r="L10" s="478">
        <f>transport!L54</f>
        <v>0</v>
      </c>
      <c r="M10" s="478">
        <f>transport!M54</f>
        <v>84.558318823319638</v>
      </c>
      <c r="N10" s="478">
        <f>transport!N54</f>
        <v>0</v>
      </c>
      <c r="O10" s="478">
        <f>transport!O54</f>
        <v>0</v>
      </c>
      <c r="P10" s="479">
        <f>transport!P54</f>
        <v>0</v>
      </c>
      <c r="Q10" s="477">
        <f t="shared" si="0"/>
        <v>3248.337322983065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92167.693599849954</v>
      </c>
      <c r="C14" s="488">
        <f t="shared" ref="C14:Q14" ca="1" si="1">SUM(C4:C13)</f>
        <v>0</v>
      </c>
      <c r="D14" s="488">
        <f t="shared" ca="1" si="1"/>
        <v>110114.1203887062</v>
      </c>
      <c r="E14" s="488">
        <f t="shared" si="1"/>
        <v>2826.3217119236242</v>
      </c>
      <c r="F14" s="488">
        <f t="shared" ca="1" si="1"/>
        <v>17737.814867664172</v>
      </c>
      <c r="G14" s="488">
        <f t="shared" si="1"/>
        <v>156669.8566579739</v>
      </c>
      <c r="H14" s="488">
        <f t="shared" si="1"/>
        <v>24205.064432353804</v>
      </c>
      <c r="I14" s="488">
        <f t="shared" si="1"/>
        <v>0</v>
      </c>
      <c r="J14" s="488">
        <f t="shared" si="1"/>
        <v>383.17947942655752</v>
      </c>
      <c r="K14" s="488">
        <f t="shared" si="1"/>
        <v>0</v>
      </c>
      <c r="L14" s="488">
        <f t="shared" ca="1" si="1"/>
        <v>0</v>
      </c>
      <c r="M14" s="488">
        <f t="shared" si="1"/>
        <v>9869.5888491753467</v>
      </c>
      <c r="N14" s="488">
        <f t="shared" ca="1" si="1"/>
        <v>7056.2295751223292</v>
      </c>
      <c r="O14" s="488">
        <f t="shared" si="1"/>
        <v>270.45666666666671</v>
      </c>
      <c r="P14" s="489">
        <f t="shared" si="1"/>
        <v>457.59999999999997</v>
      </c>
      <c r="Q14" s="489">
        <f t="shared" ca="1" si="1"/>
        <v>421757.92622886261</v>
      </c>
    </row>
    <row r="16" spans="1:17">
      <c r="A16" s="491" t="s">
        <v>556</v>
      </c>
      <c r="B16" s="841">
        <f ca="1">huishoudens!B10</f>
        <v>0.19726672712258664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10004.954019015662</v>
      </c>
      <c r="C21" s="478">
        <f t="shared" ref="C21:C30" ca="1" si="3">C4*$C$16</f>
        <v>0</v>
      </c>
      <c r="D21" s="478">
        <f t="shared" ref="D21:D30" si="4">D4*$D$16</f>
        <v>14851.764072838007</v>
      </c>
      <c r="E21" s="478">
        <f t="shared" ref="E21:E30" si="5">E4*$E$16</f>
        <v>329.32190349268905</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25186.039995346357</v>
      </c>
    </row>
    <row r="22" spans="1:17">
      <c r="A22" s="477" t="s">
        <v>156</v>
      </c>
      <c r="B22" s="478">
        <f t="shared" ca="1" si="2"/>
        <v>6349.4103964038168</v>
      </c>
      <c r="C22" s="478">
        <f t="shared" ca="1" si="3"/>
        <v>0</v>
      </c>
      <c r="D22" s="478">
        <f t="shared" ca="1" si="4"/>
        <v>6698.6199359023994</v>
      </c>
      <c r="E22" s="478">
        <f t="shared" si="5"/>
        <v>115.59608659944281</v>
      </c>
      <c r="F22" s="478">
        <f t="shared" ca="1" si="6"/>
        <v>1429.0304823728009</v>
      </c>
      <c r="G22" s="478">
        <f t="shared" si="7"/>
        <v>0</v>
      </c>
      <c r="H22" s="478">
        <f t="shared" si="8"/>
        <v>0</v>
      </c>
      <c r="I22" s="478">
        <f t="shared" si="9"/>
        <v>0</v>
      </c>
      <c r="J22" s="478">
        <f t="shared" si="10"/>
        <v>2.4903736465409942E-2</v>
      </c>
      <c r="K22" s="478">
        <f t="shared" si="11"/>
        <v>0</v>
      </c>
      <c r="L22" s="478">
        <f t="shared" ca="1" si="12"/>
        <v>0</v>
      </c>
      <c r="M22" s="478">
        <f t="shared" si="13"/>
        <v>0</v>
      </c>
      <c r="N22" s="478">
        <f t="shared" ca="1" si="14"/>
        <v>0</v>
      </c>
      <c r="O22" s="478">
        <f t="shared" si="15"/>
        <v>0</v>
      </c>
      <c r="P22" s="479">
        <f t="shared" si="16"/>
        <v>0</v>
      </c>
      <c r="Q22" s="477">
        <f t="shared" ref="Q22:Q30" ca="1" si="17">SUM(B22:P22)</f>
        <v>14592.681805014923</v>
      </c>
    </row>
    <row r="23" spans="1:17">
      <c r="A23" s="477" t="s">
        <v>194</v>
      </c>
      <c r="B23" s="478">
        <f t="shared" ca="1" si="2"/>
        <v>392.19327906131804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392.19327906131804</v>
      </c>
    </row>
    <row r="24" spans="1:17">
      <c r="A24" s="477" t="s">
        <v>112</v>
      </c>
      <c r="B24" s="478">
        <f t="shared" ca="1" si="2"/>
        <v>521.62451586117095</v>
      </c>
      <c r="C24" s="478">
        <f t="shared" ca="1" si="3"/>
        <v>0</v>
      </c>
      <c r="D24" s="478">
        <f t="shared" si="4"/>
        <v>80.862681812000005</v>
      </c>
      <c r="E24" s="478">
        <f t="shared" si="5"/>
        <v>17.643093283808934</v>
      </c>
      <c r="F24" s="478">
        <f t="shared" si="6"/>
        <v>2941.2304205410896</v>
      </c>
      <c r="G24" s="478">
        <f t="shared" si="7"/>
        <v>0</v>
      </c>
      <c r="H24" s="478">
        <f t="shared" si="8"/>
        <v>0</v>
      </c>
      <c r="I24" s="478">
        <f t="shared" si="9"/>
        <v>0</v>
      </c>
      <c r="J24" s="478">
        <f t="shared" si="10"/>
        <v>135.61615670473233</v>
      </c>
      <c r="K24" s="478">
        <f t="shared" si="11"/>
        <v>0</v>
      </c>
      <c r="L24" s="478">
        <f t="shared" si="12"/>
        <v>0</v>
      </c>
      <c r="M24" s="478">
        <f t="shared" si="13"/>
        <v>0</v>
      </c>
      <c r="N24" s="478">
        <f t="shared" si="14"/>
        <v>0</v>
      </c>
      <c r="O24" s="478">
        <f t="shared" si="15"/>
        <v>0</v>
      </c>
      <c r="P24" s="479">
        <f t="shared" si="16"/>
        <v>0</v>
      </c>
      <c r="Q24" s="477">
        <f t="shared" ca="1" si="17"/>
        <v>3696.9768682028021</v>
      </c>
    </row>
    <row r="25" spans="1:17">
      <c r="A25" s="477" t="s">
        <v>635</v>
      </c>
      <c r="B25" s="478">
        <f t="shared" ca="1" si="2"/>
        <v>569.95521908631349</v>
      </c>
      <c r="C25" s="478">
        <f t="shared" ca="1" si="3"/>
        <v>0</v>
      </c>
      <c r="D25" s="478">
        <f t="shared" si="4"/>
        <v>569.54525222320001</v>
      </c>
      <c r="E25" s="478">
        <f t="shared" si="5"/>
        <v>107.47077580838192</v>
      </c>
      <c r="F25" s="478">
        <f t="shared" si="6"/>
        <v>365.7356667524441</v>
      </c>
      <c r="G25" s="478">
        <f t="shared" si="7"/>
        <v>0</v>
      </c>
      <c r="H25" s="478">
        <f t="shared" si="8"/>
        <v>0</v>
      </c>
      <c r="I25" s="478">
        <f t="shared" si="9"/>
        <v>0</v>
      </c>
      <c r="J25" s="478">
        <f t="shared" si="10"/>
        <v>4.47527580362337E-3</v>
      </c>
      <c r="K25" s="478">
        <f t="shared" si="11"/>
        <v>0</v>
      </c>
      <c r="L25" s="478">
        <f t="shared" si="12"/>
        <v>0</v>
      </c>
      <c r="M25" s="478">
        <f t="shared" si="13"/>
        <v>0</v>
      </c>
      <c r="N25" s="478">
        <f t="shared" si="14"/>
        <v>0</v>
      </c>
      <c r="O25" s="478">
        <f t="shared" si="15"/>
        <v>0</v>
      </c>
      <c r="P25" s="479">
        <f t="shared" si="16"/>
        <v>0</v>
      </c>
      <c r="Q25" s="477">
        <f t="shared" ca="1" si="17"/>
        <v>1612.7113891461431</v>
      </c>
    </row>
    <row r="26" spans="1:17" s="483" customFormat="1">
      <c r="A26" s="481" t="s">
        <v>561</v>
      </c>
      <c r="B26" s="835">
        <f t="shared" ca="1" si="2"/>
        <v>13.067858564328111</v>
      </c>
      <c r="C26" s="482">
        <f t="shared" ca="1" si="3"/>
        <v>0</v>
      </c>
      <c r="D26" s="482">
        <f t="shared" si="4"/>
        <v>42.260375743047945</v>
      </c>
      <c r="E26" s="482">
        <f t="shared" si="5"/>
        <v>71.54316942234</v>
      </c>
      <c r="F26" s="482">
        <f t="shared" si="6"/>
        <v>0</v>
      </c>
      <c r="G26" s="482">
        <f t="shared" si="7"/>
        <v>41433.337185704811</v>
      </c>
      <c r="H26" s="482">
        <f t="shared" si="8"/>
        <v>6027.0610436560974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47587.269633090626</v>
      </c>
    </row>
    <row r="27" spans="1:17">
      <c r="A27" s="477" t="s">
        <v>551</v>
      </c>
      <c r="B27" s="478">
        <f t="shared" ca="1" si="2"/>
        <v>330.41397488716865</v>
      </c>
      <c r="C27" s="478">
        <f t="shared" ca="1" si="3"/>
        <v>0</v>
      </c>
      <c r="D27" s="478">
        <f t="shared" si="4"/>
        <v>0</v>
      </c>
      <c r="E27" s="478">
        <f t="shared" si="5"/>
        <v>0</v>
      </c>
      <c r="F27" s="478">
        <f t="shared" si="6"/>
        <v>0</v>
      </c>
      <c r="G27" s="478">
        <f t="shared" si="7"/>
        <v>397.51454197422299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727.9285168613917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18181.61926287978</v>
      </c>
      <c r="C31" s="488">
        <f t="shared" ca="1" si="18"/>
        <v>0</v>
      </c>
      <c r="D31" s="488">
        <f t="shared" ca="1" si="18"/>
        <v>22243.052318518654</v>
      </c>
      <c r="E31" s="488">
        <f t="shared" si="18"/>
        <v>641.57502860666273</v>
      </c>
      <c r="F31" s="488">
        <f t="shared" ca="1" si="18"/>
        <v>4735.9965696663348</v>
      </c>
      <c r="G31" s="488">
        <f t="shared" si="18"/>
        <v>41830.851727679037</v>
      </c>
      <c r="H31" s="488">
        <f t="shared" si="18"/>
        <v>6027.0610436560974</v>
      </c>
      <c r="I31" s="488">
        <f t="shared" si="18"/>
        <v>0</v>
      </c>
      <c r="J31" s="488">
        <f t="shared" si="18"/>
        <v>135.64553571700137</v>
      </c>
      <c r="K31" s="488">
        <f t="shared" si="18"/>
        <v>0</v>
      </c>
      <c r="L31" s="488">
        <f t="shared" ca="1" si="18"/>
        <v>0</v>
      </c>
      <c r="M31" s="488">
        <f t="shared" si="18"/>
        <v>0</v>
      </c>
      <c r="N31" s="488">
        <f t="shared" ca="1" si="18"/>
        <v>0</v>
      </c>
      <c r="O31" s="488">
        <f t="shared" si="18"/>
        <v>0</v>
      </c>
      <c r="P31" s="489">
        <f t="shared" si="18"/>
        <v>0</v>
      </c>
      <c r="Q31" s="489">
        <f t="shared" ca="1" si="18"/>
        <v>93795.801486723547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0.19726672712258664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0.19726672712258664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0.19726672712258664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2018-09-06T12:47:53Z</dcterms:modified>
</cp:coreProperties>
</file>