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20" i="16"/>
  <c r="C22" s="1"/>
  <c r="D39" i="14"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4" i="48"/>
  <c r="C29"/>
  <c r="C21"/>
  <c r="C26"/>
  <c r="F25"/>
  <c r="F31" s="1"/>
  <c r="F14"/>
  <c r="C23" l="1"/>
  <c r="C22"/>
  <c r="C31" s="1"/>
  <c r="R13" i="14"/>
  <c r="R15" s="1"/>
  <c r="R23" s="1"/>
  <c r="C27" i="48"/>
  <c r="C2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<sst xmlns="http://schemas.openxmlformats.org/spreadsheetml/2006/main" count="1941" uniqueCount="824">
  <si>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</si>
  <si>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</si>
  <si>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</si>
  <si>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</si>
  <si>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</si>
  <si>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</si>
  <si>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</si>
  <si>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</si>
  <si>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</si>
  <si>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</si>
  <si>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</si>
  <si>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</si>
  <si>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</si>
  <si>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</si>
  <si>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</si>
  <si>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</si>
  <si>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</si>
  <si>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</si>
  <si>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</si>
  <si>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</si>
  <si>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</si>
  <si>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</si>
  <si>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</si>
  <si>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</si>
  <si>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</si>
  <si>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</si>
  <si>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</si>
  <si>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</si>
  <si>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</si>
  <si>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</si>
  <si>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</si>
  <si>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</si>
  <si>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</si>
  <si>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</si>
  <si>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</si>
  <si>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</si>
  <si>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</si>
  <si>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</si>
  <si>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</si>
  <si>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</si>
  <si>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</si>
  <si>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</si>
  <si>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</si>
  <si>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</si>
  <si>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</si>
  <si>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</si>
  <si>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</si>
  <si>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</si>
  <si>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</si>
  <si>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</si>
  <si>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</si>
  <si>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</si>
  <si>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</si>
  <si>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</si>
  <si>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</si>
  <si>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</si>
  <si>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</si>
  <si>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</si>
  <si>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</si>
  <si>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</si>
  <si>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</si>
  <si>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</si>
  <si>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</si>
  <si>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</si>
  <si>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</si>
  <si>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</si>
  <si>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</si>
  <si>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</si>
  <si>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</si>
  <si>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</si>
  <si>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</si>
  <si>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</si>
  <si>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</si>
  <si>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</si>
  <si>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</si>
  <si>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</si>
  <si>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</si>
  <si>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</si>
  <si>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</si>
  <si>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</si>
  <si>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</si>
  <si>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</si>
  <si>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</si>
  <si>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</si>
  <si>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</si>
  <si>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</si>
  <si>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</si>
  <si>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</si>
  <si>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</si>
  <si>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</si>
  <si>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</si>
  <si>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</si>
  <si>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</si>
  <si>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</si>
  <si>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</si>
  <si>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</si>
  <si>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</si>
  <si>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</si>
  <si>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</si>
  <si>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</si>
  <si>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</si>
  <si>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</si>
  <si>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</si>
  <si>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</si>
  <si>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</si>
  <si>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</si>
  <si>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</si>
  <si>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</si>
  <si>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</si>
  <si>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</si>
  <si>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</si>
  <si>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</si>
  <si>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</si>
  <si>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</si>
  <si>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</si>
  <si>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</si>
  <si>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</si>
  <si>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</si>
  <si>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</si>
  <si>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</si>
  <si>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</si>
  <si>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</si>
  <si>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</si>
  <si>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</si>
  <si>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</si>
  <si>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</si>
  <si>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</si>
  <si>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</si>
  <si>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</si>
  <si>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</si>
  <si>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</si>
  <si>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</si>
  <si>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</si>
  <si>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</si>
  <si>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</si>
  <si>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</si>
  <si>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</si>
  <si>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</si>
  <si>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</si>
  <si>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</si>
  <si>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</si>
  <si>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</si>
  <si>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</si>
  <si>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</si>
  <si>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</si>
  <si>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</si>
  <si>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</si>
  <si>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</si>
  <si>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</si>
  <si>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</si>
  <si>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</si>
  <si>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</si>
  <si>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</si>
  <si>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</si>
  <si>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</si>
  <si>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</si>
  <si>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</si>
  <si>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</si>
  <si>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</si>
  <si>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</si>
  <si>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</si>
  <si>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</si>
  <si>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</si>
  <si>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</si>
  <si>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</si>
  <si>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</si>
  <si>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</si>
  <si>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</si>
  <si>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</si>
  <si>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</si>
  <si>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</si>
  <si>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</si>
  <si>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</si>
  <si>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</si>
  <si>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</si>
  <si>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</si>
  <si>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</si>
  <si>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</si>
  <si>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</si>
  <si>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</si>
  <si>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</si>
  <si>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</si>
  <si>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</si>
  <si>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</si>
  <si>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</si>
  <si>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</si>
  <si>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</si>
  <si>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</si>
  <si>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</si>
  <si>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</si>
  <si>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</si>
  <si>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</si>
  <si>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</si>
  <si>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</si>
  <si>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</si>
  <si>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</si>
  <si>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</si>
  <si>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</si>
  <si>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</si>
  <si>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</si>
  <si>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</si>
  <si>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</si>
  <si>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</si>
  <si>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</si>
  <si>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</si>
  <si>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</si>
  <si>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</si>
  <si>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</si>
  <si>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</si>
  <si>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</si>
  <si>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</si>
  <si>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</si>
  <si>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</si>
  <si>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</si>
  <si>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</si>
  <si>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</si>
  <si>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</si>
  <si>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</si>
  <si>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</si>
  <si>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</si>
  <si>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</si>
  <si>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</si>
  <si>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</si>
  <si>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</si>
  <si>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</si>
  <si>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</si>
  <si>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</si>
  <si>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</si>
  <si>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</si>
  <si>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</si>
  <si>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</si>
  <si>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</si>
  <si>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</si>
  <si>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</si>
  <si>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</si>
  <si>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</si>
  <si>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</si>
  <si>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</si>
  <si>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</si>
  <si>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</si>
  <si>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</si>
  <si>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</si>
  <si>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</si>
  <si>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</si>
  <si>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</si>
  <si>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</si>
  <si>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</si>
  <si>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</si>
  <si>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</si>
  <si>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</si>
  <si>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</si>
  <si>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</si>
  <si>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</si>
  <si>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</si>
  <si>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</si>
  <si>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</si>
  <si>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</si>
  <si>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</si>
  <si>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</si>
  <si>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</si>
  <si>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</si>
  <si>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</si>
  <si>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</si>
  <si>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</si>
  <si>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</si>
  <si>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</si>
  <si>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</si>
  <si>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</si>
  <si>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</si>
  <si>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</si>
  <si>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</si>
  <si>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</si>
  <si>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</si>
  <si>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</si>
  <si>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</si>
  <si>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</si>
  <si>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</si>
  <si>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</si>
  <si>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</si>
  <si>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</si>
  <si>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</si>
  <si>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</si>
  <si>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</si>
  <si>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</si>
  <si>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</si>
  <si>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</si>
  <si>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</si>
  <si>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</si>
  <si>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</si>
  <si>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</si>
  <si>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</si>
  <si>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</si>
  <si>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</si>
  <si>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</si>
  <si>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</si>
  <si>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</si>
  <si>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</si>
  <si>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</si>
  <si>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</si>
  <si>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</si>
  <si>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</si>
  <si>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</si>
  <si>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</si>
  <si>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</si>
  <si>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</si>
  <si>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</si>
  <si>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</si>
  <si>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</si>
  <si>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</si>
  <si>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</si>
  <si>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</si>
  <si>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</si>
  <si>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</si>
  <si>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</si>
  <si>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</si>
  <si>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</si>
  <si>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</si>
  <si>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</si>
  <si>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</si>
  <si>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</si>
  <si>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</si>
  <si>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</si>
  <si>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</si>
  <si>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</si>
  <si>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</si>
  <si>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</si>
  <si>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</si>
  <si>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</si>
  <si>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</si>
  <si>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</si>
  <si>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</si>
  <si>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</si>
  <si>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</si>
  <si>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</si>
  <si>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</si>
  <si>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</si>
  <si>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</si>
  <si>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</si>
  <si>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</si>
  <si>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</si>
  <si>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</si>
  <si>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</si>
  <si>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</si>
  <si>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</si>
  <si>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</si>
  <si>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</si>
  <si>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</si>
  <si>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</si>
  <si>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</si>
  <si>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</si>
  <si>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</si>
  <si>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</si>
  <si>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</si>
  <si>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</si>
  <si>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</si>
  <si>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</si>
  <si>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</si>
  <si>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</si>
  <si>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</si>
  <si>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</si>
  <si>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</si>
  <si>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</si>
  <si>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</si>
  <si>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</si>
  <si>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</si>
  <si>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</si>
  <si>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</si>
  <si>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</si>
  <si>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</si>
  <si>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</si>
  <si>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</si>
  <si>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</si>
  <si>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</si>
  <si>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</si>
  <si>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</si>
  <si>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</si>
  <si>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</si>
  <si>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</si>
  <si>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</si>
  <si>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</si>
  <si>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</si>
  <si>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</si>
  <si>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</si>
  <si>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</si>
  <si>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</si>
  <si>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</si>
  <si>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</si>
  <si>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</si>
  <si>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</si>
  <si>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</si>
  <si>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</si>
  <si>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</si>
  <si>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</si>
  <si>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</si>
  <si>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</si>
  <si>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</si>
  <si>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</si>
  <si>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</si>
  <si>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</si>
  <si>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</si>
  <si>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</si>
  <si>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</si>
  <si>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</si>
  <si>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</si>
  <si>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</si>
  <si>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</si>
  <si>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</si>
  <si>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</si>
  <si>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</si>
  <si>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</si>
  <si>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</si>
  <si>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</si>
  <si>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</si>
  <si>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</si>
  <si>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</si>
  <si>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</si>
  <si>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</si>
  <si>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</si>
  <si>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</si>
  <si>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</si>
  <si>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</si>
  <si>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</si>
  <si>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</si>
  <si>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</si>
  <si>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</si>
  <si>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</si>
  <si>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</si>
  <si>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</si>
  <si>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</si>
  <si>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</si>
  <si>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</si>
  <si>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</si>
  <si>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</si>
  <si>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</si>
  <si>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</si>
  <si>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</si>
  <si>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</si>
  <si>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</si>
  <si>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</si>
  <si>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</si>
  <si>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</si>
  <si>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</si>
  <si>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</si>
  <si>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</si>
  <si>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</si>
  <si>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</si>
  <si>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</si>
  <si>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</si>
  <si>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</si>
  <si>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</si>
  <si>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</si>
  <si>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</si>
  <si>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</si>
  <si>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</si>
  <si>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</si>
  <si>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</si>
  <si>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</si>
  <si>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</si>
  <si>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</si>
  <si>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</si>
  <si>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</si>
  <si>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</si>
  <si>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</si>
  <si>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</si>
  <si>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</si>
  <si>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</si>
  <si>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</si>
  <si>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</si>
  <si>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</si>
  <si>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</si>
  <si>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</si>
  <si>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</si>
  <si>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</si>
  <si>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</si>
  <si>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</si>
  <si>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</si>
  <si>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</si>
  <si>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</si>
  <si>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</si>
  <si>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</si>
  <si>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</si>
  <si>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</si>
  <si>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</si>
  <si>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</si>
  <si>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</si>
  <si>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</si>
  <si>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</si>
  <si>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</si>
  <si>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</si>
  <si>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</si>
  <si>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</si>
  <si>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</si>
  <si>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</si>
  <si>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</si>
  <si>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</si>
  <si>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</si>
  <si>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</si>
  <si>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</si>
  <si>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</si>
  <si>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</si>
  <si>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</si>
  <si>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</si>
  <si>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</si>
  <si>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</si>
  <si>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</si>
  <si>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</si>
  <si>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</si>
  <si>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</si>
  <si>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</si>
  <si>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</si>
  <si>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</si>
  <si>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</si>
  <si>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</si>
  <si>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</si>
  <si>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</si>
  <si>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</si>
  <si>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</si>
  <si>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</si>
  <si>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</si>
  <si>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</si>
  <si>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</si>
  <si>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</si>
  <si>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</si>
  <si>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</si>
  <si>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</si>
  <si>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</si>
  <si>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</si>
  <si>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</si>
  <si>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</si>
  <si>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</si>
  <si>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</si>
  <si>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</si>
  <si>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</si>
  <si>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</si>
  <si>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</si>
  <si>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</si>
  <si>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</si>
  <si>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</si>
  <si>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</si>
  <si>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</si>
  <si>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</si>
  <si>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</si>
  <si>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</si>
  <si>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</si>
  <si>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</si>
  <si>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</si>
  <si>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</si>
  <si>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</si>
  <si>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</si>
  <si>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</si>
  <si>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</si>
  <si>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</si>
  <si>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</si>
  <si>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</si>
  <si>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</si>
  <si>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</si>
  <si>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</si>
  <si>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</si>
  <si>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</si>
  <si>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</si>
  <si>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</si>
  <si>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</si>
  <si>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</si>
  <si>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</si>
  <si>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</si>
  <si>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</si>
  <si>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</si>
  <si>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</si>
  <si>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</si>
  <si>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</si>
  <si>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</si>
  <si>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</si>
  <si>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</si>
  <si>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</si>
  <si>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</si>
  <si>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</si>
  <si>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</si>
  <si>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</si>
  <si>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</si>
  <si>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</si>
  <si>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</si>
  <si>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</si>
  <si>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</si>
  <si>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</si>
  <si>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</si>
  <si>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</si>
  <si>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</si>
  <si>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</si>
  <si>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</si>
  <si>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</si>
  <si>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</si>
  <si>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</si>
  <si>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</si>
  <si>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</si>
  <si>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</si>
  <si>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</si>
  <si>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</si>
  <si>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</si>
  <si>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</si>
  <si>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</si>
  <si>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</si>
  <si>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</si>
  <si>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</si>
  <si>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</si>
  <si>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</si>
  <si>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</si>
  <si>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</si>
  <si>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</si>
  <si>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</si>
  <si>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</si>
  <si>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</si>
  <si>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</si>
  <si>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</si>
  <si>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</si>
  <si>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</si>
  <si>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</si>
  <si>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</si>
  <si>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</si>
  <si>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</si>
  <si>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</si>
  <si>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</si>
  <si>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</si>
  <si>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</si>
  <si>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</si>
  <si>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</si>
  <si>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</si>
  <si>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</si>
  <si>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</si>
  <si>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</si>
  <si>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</si>
  <si>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</si>
  <si>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</si>
  <si>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</si>
  <si>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</si>
  <si>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</si>
  <si>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</si>
  <si>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</si>
  <si>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</si>
  <si>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</si>
  <si>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</si>
  <si>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</si>
  <si>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</si>
  <si>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</si>
  <si>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</si>
  <si>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</si>
  <si>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</si>
  <si>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</si>
  <si>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</si>
  <si>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</si>
  <si>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</si>
  <si>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</si>
  <si>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</si>
  <si>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</si>
  <si>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</si>
  <si>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</si>
  <si>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</si>
  <si>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</si>
  <si>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</si>
  <si>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</si>
  <si>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</si>
  <si>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</si>
  <si>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</si>
  <si>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</si>
  <si>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</si>
  <si>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</si>
  <si>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</si>
  <si>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</si>
  <si>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</si>
  <si>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</si>
  <si>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</si>
  <si>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</si>
  <si>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</si>
  <si>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</si>
  <si>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</si>
  <si>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</si>
  <si>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</si>
  <si>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</si>
  <si>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</si>
  <si>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</si>
  <si>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</si>
  <si>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</si>
  <si>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</si>
  <si>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</si>
  <si>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</si>
  <si>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</si>
  <si>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</si>
  <si>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</si>
  <si>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</si>
  <si>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</si>
  <si>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</si>
  <si>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</si>
  <si>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</si>
  <si>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</si>
  <si>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</si>
  <si>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</si>
  <si>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</si>
  <si>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</si>
  <si>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</si>
  <si>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</si>
  <si>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</si>
  <si>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</si>
  <si>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</si>
  <si>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</si>
  <si>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</si>
  <si>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</si>
  <si>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</si>
  <si>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</si>
  <si>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</si>
  <si>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</si>
  <si>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</si>
  <si>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</si>
  <si>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</si>
  <si>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</si>
  <si>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</si>
  <si>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</si>
  <si>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</si>
  <si>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</si>
  <si>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</si>
  <si>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</si>
  <si>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</si>
  <si>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</si>
  <si>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</si>
  <si>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</si>
  <si>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</si>
  <si>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</si>
  <si>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</si>
  <si>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</si>
  <si>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</si>
  <si>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</si>
  <si>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</si>
  <si>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</si>
  <si>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</si>
  <si>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</si>
  <si>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</si>
  <si>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</si>
  <si>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</si>
  <si>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</si>
  <si>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</si>
  <si>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</si>
  <si>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</si>
  <si>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</si>
  <si>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</si>
  <si>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</si>
  <si>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</si>
  <si>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</si>
  <si>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</si>
  <si>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</si>
  <si>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</si>
  <si>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</si>
  <si>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</si>
  <si>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</si>
  <si>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</si>
  <si>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</si>
  <si>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</si>
  <si>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</si>
  <si>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</si>
  <si>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</si>
  <si>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</si>
  <si>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</si>
  <si>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</si>
  <si>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</si>
  <si>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</si>
  <si>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</si>
  <si>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</si>
  <si>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</si>
  <si>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</si>
  <si>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</si>
  <si>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</si>
  <si>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</si>
  <si>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</si>
  <si>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</si>
  <si>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</si>
  <si>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</si>
  <si>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</si>
  <si>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</si>
  <si>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</si>
  <si>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</si>
  <si>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</si>
  <si>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</si>
  <si>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</si>
  <si>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</si>
  <si>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</si>
  <si>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</si>
  <si>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</si>
  <si>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</si>
  <si>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</si>
  <si>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</si>
  <si>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</si>
  <si>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</si>
  <si>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</si>
  <si>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</si>
  <si>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</si>
  <si>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</si>
  <si>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</si>
  <si>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</si>
  <si>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</si>
  <si>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</si>
  <si>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</si>
  <si>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</si>
  <si>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</si>
  <si>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</si>
  <si>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35005</t>
  </si>
  <si>
    <t>GISTEL</t>
  </si>
  <si>
    <t>Eandis (januari 2018); Infrax (juni 2018)</t>
  </si>
  <si>
    <t>MOW (september 2017)</t>
  </si>
  <si>
    <t>referentietaak LNE (2017); Jaarverslag De Lijn (2016)</t>
  </si>
  <si>
    <t>VEA (april 2018)</t>
  </si>
  <si>
    <t>VEA (januari 2017)</t>
  </si>
  <si>
    <t>VEA (juni 2018)</t>
  </si>
  <si>
    <t>De Bazelaar GCV</t>
  </si>
  <si>
    <t>Zevekotestraat 107 , 8470 Zevekote</t>
  </si>
  <si>
    <t>WKK-0461 De Bazelaar</t>
  </si>
  <si>
    <t>interne verbrandingsmotor</t>
  </si>
  <si>
    <t>WKK interne verbrandinsgmotor (gas)</t>
  </si>
  <si>
    <t>Infrax West</t>
  </si>
  <si>
    <t>Ivaco cvba</t>
  </si>
  <si>
    <t>Muizeveld 7, 8470 Gistel</t>
  </si>
  <si>
    <t>WKK-0529 Ivaco</t>
  </si>
  <si>
    <t>Bazelaar 1 , 8470 Gistel</t>
  </si>
  <si>
    <t>A.K. Gistel bvba</t>
  </si>
  <si>
    <t>Nieuwpoortse Steenweg 195 B, 8470 Gistel</t>
  </si>
  <si>
    <t>BMS-0031 A.K. Gistel Plantenolie</t>
  </si>
  <si>
    <t>biomassa uit land- of bosbouw</t>
  </si>
  <si>
    <t>niet WKK interne verbrandingsmotor (vloeibaar)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</si>
</sst>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85657.901745738782</c:v>
                </c:pt>
                <c:pt idx="1">
                  <c:v>27498.289808773545</c:v>
                </c:pt>
                <c:pt idx="2">
                  <c:v>1075.5519999999999</c:v>
                </c:pt>
                <c:pt idx="3">
                  <c:v>12638.450697941089</c:v>
                </c:pt>
                <c:pt idx="4">
                  <c:v>13745.376836788288</c:v>
                </c:pt>
                <c:pt idx="5">
                  <c:v>191423.35083959208</c:v>
                </c:pt>
                <c:pt idx="6">
                  <c:v>1408.8789680419652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19520"/>
        <c:axId val="182670464"/>
      </c:barChart>
      <c:catAx>
        <c:axId val="182619520"/>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6195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85657.901745738782</c:v>
                </c:pt>
                <c:pt idx="1">
                  <c:v>27498.289808773545</c:v>
                </c:pt>
                <c:pt idx="2">
                  <c:v>1075.5519999999999</c:v>
                </c:pt>
                <c:pt idx="3">
                  <c:v>12638.450697941089</c:v>
                </c:pt>
                <c:pt idx="4">
                  <c:v>13745.376836788288</c:v>
                </c:pt>
                <c:pt idx="5">
                  <c:v>191423.35083959208</c:v>
                </c:pt>
                <c:pt idx="6">
                  <c:v>1408.8789680419652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11182.194598491713</c:v>
                </c:pt>
                <c:pt idx="1">
                  <c:v>3770.0470162297638</c:v>
                </c:pt>
                <c:pt idx="2">
                  <c:v>50.696756017909607</c:v>
                </c:pt>
                <c:pt idx="3">
                  <c:v>2840.7249174155836</c:v>
                </c:pt>
                <c:pt idx="4">
                  <c:v>2021.3210775615473</c:v>
                </c:pt>
                <c:pt idx="5">
                  <c:v>48000.562798551997</c:v>
                </c:pt>
                <c:pt idx="6">
                  <c:v>355.95406496367707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1696"/>
        <c:axId val="183156736"/>
      </c:barChart>
      <c:catAx>
        <c:axId val="183101696"/>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10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11182.194598491713</c:v>
                </c:pt>
                <c:pt idx="1">
                  <c:v>3770.0470162297638</c:v>
                </c:pt>
                <c:pt idx="2">
                  <c:v>50.696756017909607</c:v>
                </c:pt>
                <c:pt idx="3">
                  <c:v>2840.7249174155836</c:v>
                </c:pt>
                <c:pt idx="4">
                  <c:v>2021.3210775615473</c:v>
                </c:pt>
                <c:pt idx="5">
                  <c:v>48000.562798551997</c:v>
                </c:pt>
                <c:pt idx="6">
                  <c:v>355.95406496367707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35005</v>
      </c>
      <c r="B6" s="415"/>
      <c r="C6" s="416"/>
    </row>
    <row r="7" spans="1:7" s="413" customFormat="1" ht="15.75" customHeight="1">
      <c r="A7" s="417" t="str">
        <f>txtMunicipality</f>
        <v>GISTEL</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4945</v>
      </c>
      <c r="C9" s="342">
        <v>5156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3148.96</v>
      </c>
    </row>
    <row r="15" spans="1:6">
      <c r="A15" s="348" t="s">
        <v>184</v>
      </c>
      <c r="B15" s="334">
        <v>42</v>
      </c>
    </row>
    <row r="16" spans="1:6">
      <c r="A16" s="348" t="s">
        <v>6</v>
      </c>
      <c r="B16" s="334">
        <v>1733</v>
      </c>
    </row>
    <row r="17" spans="1:6">
      <c r="A17" s="348" t="s">
        <v>7</v>
      </c>
      <c r="B17" s="334">
        <v>813</v>
      </c>
    </row>
    <row r="18" spans="1:6">
      <c r="A18" s="348" t="s">
        <v>8</v>
      </c>
      <c r="B18" s="334">
        <v>1487</v>
      </c>
    </row>
    <row r="19" spans="1:6">
      <c r="A19" s="348" t="s">
        <v>9</v>
      </c>
      <c r="B19" s="334">
        <v>1392</v>
      </c>
    </row>
    <row r="20" spans="1:6">
      <c r="A20" s="348" t="s">
        <v>10</v>
      </c>
      <c r="B20" s="334">
        <v>1030</v>
      </c>
    </row>
    <row r="21" spans="1:6">
      <c r="A21" s="348" t="s">
        <v>11</v>
      </c>
      <c r="B21" s="334">
        <v>7968</v>
      </c>
    </row>
    <row r="22" spans="1:6">
      <c r="A22" s="348" t="s">
        <v>12</v>
      </c>
      <c r="B22" s="334">
        <v>17772</v>
      </c>
    </row>
    <row r="23" spans="1:6">
      <c r="A23" s="348" t="s">
        <v>13</v>
      </c>
      <c r="B23" s="334">
        <v>100</v>
      </c>
    </row>
    <row r="24" spans="1:6">
      <c r="A24" s="348" t="s">
        <v>14</v>
      </c>
      <c r="B24" s="334">
        <v>7</v>
      </c>
    </row>
    <row r="25" spans="1:6">
      <c r="A25" s="348" t="s">
        <v>15</v>
      </c>
      <c r="B25" s="334">
        <v>637</v>
      </c>
    </row>
    <row r="26" spans="1:6">
      <c r="A26" s="348" t="s">
        <v>16</v>
      </c>
      <c r="B26" s="334">
        <v>250</v>
      </c>
    </row>
    <row r="27" spans="1:6">
      <c r="A27" s="348" t="s">
        <v>17</v>
      </c>
      <c r="B27" s="334">
        <v>0</v>
      </c>
    </row>
    <row r="28" spans="1:6" s="356" customFormat="1">
      <c r="A28" s="355" t="s">
        <v>18</v>
      </c>
      <c r="B28" s="355">
        <v>68541</v>
      </c>
    </row>
    <row r="29" spans="1:6">
      <c r="A29" s="355" t="s">
        <v>744</v>
      </c>
      <c r="B29" s="355">
        <v>27</v>
      </c>
      <c r="C29" s="356"/>
      <c r="D29" s="356"/>
      <c r="E29" s="356"/>
      <c r="F29" s="356"/>
    </row>
    <row r="30" spans="1:6">
      <c r="A30" s="341" t="s">
        <v>745</v>
      </c>
      <c r="B30" s="341">
        <v>10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19</v>
      </c>
      <c r="F36" s="334">
        <v>27483864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3650</v>
      </c>
      <c r="D39" s="334">
        <v>51847432.25</v>
      </c>
      <c r="E39" s="334">
        <v>4927</v>
      </c>
      <c r="F39" s="334">
        <v>17854570.550000001</v>
      </c>
    </row>
    <row r="40" spans="1:6">
      <c r="A40" s="348" t="s">
        <v>30</v>
      </c>
      <c r="B40" s="348" t="s">
        <v>29</v>
      </c>
      <c r="C40" s="334">
        <v>0</v>
      </c>
      <c r="D40" s="334">
        <v>0</v>
      </c>
      <c r="E40" s="334">
        <v>0</v>
      </c>
      <c r="F40" s="334">
        <v>0</v>
      </c>
    </row>
    <row r="41" spans="1:6">
      <c r="A41" s="348" t="s">
        <v>32</v>
      </c>
      <c r="B41" s="348" t="s">
        <v>33</v>
      </c>
      <c r="C41" s="334">
        <v>47</v>
      </c>
      <c r="D41" s="334">
        <v>4307245.95</v>
      </c>
      <c r="E41" s="334">
        <v>113</v>
      </c>
      <c r="F41" s="334">
        <v>2272763.2999999998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655913</v>
      </c>
      <c r="E44" s="334">
        <v>11</v>
      </c>
      <c r="F44" s="334">
        <v>446757</v>
      </c>
    </row>
    <row r="45" spans="1:6">
      <c r="A45" s="348" t="s">
        <v>32</v>
      </c>
      <c r="B45" s="348" t="s">
        <v>37</v>
      </c>
      <c r="C45" s="334">
        <v>4</v>
      </c>
      <c r="D45" s="334">
        <v>454037</v>
      </c>
      <c r="E45" s="334">
        <v>7</v>
      </c>
      <c r="F45" s="334">
        <v>775580</v>
      </c>
    </row>
    <row r="46" spans="1:6">
      <c r="A46" s="348" t="s">
        <v>32</v>
      </c>
      <c r="B46" s="348" t="s">
        <v>38</v>
      </c>
      <c r="C46" s="334">
        <v>0</v>
      </c>
      <c r="D46" s="334">
        <v>0</v>
      </c>
      <c r="E46" s="334">
        <v>0</v>
      </c>
      <c r="F46" s="334">
        <v>0</v>
      </c>
    </row>
    <row r="47" spans="1:6">
      <c r="A47" s="348" t="s">
        <v>32</v>
      </c>
      <c r="B47" s="348" t="s">
        <v>39</v>
      </c>
      <c r="C47" s="334">
        <v>7</v>
      </c>
      <c r="D47" s="334">
        <v>368534</v>
      </c>
      <c r="E47" s="334">
        <v>7</v>
      </c>
      <c r="F47" s="334">
        <v>203512</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7</v>
      </c>
      <c r="D50" s="334">
        <v>282257</v>
      </c>
      <c r="E50" s="334">
        <v>9</v>
      </c>
      <c r="F50" s="334">
        <v>195959</v>
      </c>
    </row>
    <row r="51" spans="1:6">
      <c r="A51" s="348" t="s">
        <v>42</v>
      </c>
      <c r="B51" s="348" t="s">
        <v>43</v>
      </c>
      <c r="C51" s="334">
        <v>12</v>
      </c>
      <c r="D51" s="334">
        <v>1119828</v>
      </c>
      <c r="E51" s="334">
        <v>77</v>
      </c>
      <c r="F51" s="334">
        <v>2165831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1075552</v>
      </c>
    </row>
    <row r="55" spans="1:6">
      <c r="A55" s="348" t="s">
        <v>46</v>
      </c>
      <c r="B55" s="348" t="s">
        <v>29</v>
      </c>
      <c r="C55" s="334">
        <v>0</v>
      </c>
      <c r="D55" s="334">
        <v>0</v>
      </c>
      <c r="E55" s="334">
        <v>0</v>
      </c>
      <c r="F55" s="334">
        <v>0</v>
      </c>
    </row>
    <row r="56" spans="1:6">
      <c r="A56" s="348" t="s">
        <v>48</v>
      </c>
      <c r="B56" s="348" t="s">
        <v>29</v>
      </c>
      <c r="C56" s="334">
        <v>3</v>
      </c>
      <c r="D56" s="334">
        <v>635533</v>
      </c>
      <c r="E56" s="334">
        <v>10</v>
      </c>
      <c r="F56" s="334">
        <v>1109836</v>
      </c>
    </row>
    <row r="57" spans="1:6">
      <c r="A57" s="348" t="s">
        <v>49</v>
      </c>
      <c r="B57" s="348" t="s">
        <v>50</v>
      </c>
      <c r="C57" s="334">
        <v>42</v>
      </c>
      <c r="D57" s="334">
        <v>2705192.9</v>
      </c>
      <c r="E57" s="334">
        <v>72</v>
      </c>
      <c r="F57" s="334">
        <v>1779978</v>
      </c>
    </row>
    <row r="58" spans="1:6">
      <c r="A58" s="348" t="s">
        <v>49</v>
      </c>
      <c r="B58" s="348" t="s">
        <v>51</v>
      </c>
      <c r="C58" s="334">
        <v>16</v>
      </c>
      <c r="D58" s="334">
        <v>1885258.1</v>
      </c>
      <c r="E58" s="334">
        <v>20</v>
      </c>
      <c r="F58" s="334">
        <v>567702.1</v>
      </c>
    </row>
    <row r="59" spans="1:6">
      <c r="A59" s="348" t="s">
        <v>49</v>
      </c>
      <c r="B59" s="348" t="s">
        <v>52</v>
      </c>
      <c r="C59" s="334">
        <v>93</v>
      </c>
      <c r="D59" s="334">
        <v>3430629</v>
      </c>
      <c r="E59" s="334">
        <v>179</v>
      </c>
      <c r="F59" s="334">
        <v>4466758</v>
      </c>
    </row>
    <row r="60" spans="1:6">
      <c r="A60" s="348" t="s">
        <v>49</v>
      </c>
      <c r="B60" s="348" t="s">
        <v>53</v>
      </c>
      <c r="C60" s="334">
        <v>33</v>
      </c>
      <c r="D60" s="334">
        <v>1315956</v>
      </c>
      <c r="E60" s="334">
        <v>44</v>
      </c>
      <c r="F60" s="334">
        <v>715262</v>
      </c>
    </row>
    <row r="61" spans="1:6">
      <c r="A61" s="348" t="s">
        <v>49</v>
      </c>
      <c r="B61" s="348" t="s">
        <v>54</v>
      </c>
      <c r="C61" s="334">
        <v>99</v>
      </c>
      <c r="D61" s="334">
        <v>3903871</v>
      </c>
      <c r="E61" s="334">
        <v>199</v>
      </c>
      <c r="F61" s="334">
        <v>2085142.1</v>
      </c>
    </row>
    <row r="62" spans="1:6">
      <c r="A62" s="348" t="s">
        <v>49</v>
      </c>
      <c r="B62" s="348" t="s">
        <v>55</v>
      </c>
      <c r="C62" s="334">
        <v>9</v>
      </c>
      <c r="D62" s="334">
        <v>1737868</v>
      </c>
      <c r="E62" s="334">
        <v>10</v>
      </c>
      <c r="F62" s="334">
        <v>239601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80983</v>
      </c>
      <c r="E68" s="334">
        <v>13</v>
      </c>
      <c r="F68" s="334">
        <v>90711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47997044</v>
      </c>
      <c r="E73" s="476">
        <v>41407394.141307347</v>
      </c>
    </row>
    <row r="74" spans="1:6">
      <c r="A74" s="348" t="s">
        <v>64</v>
      </c>
      <c r="B74" s="348" t="s">
        <v>657</v>
      </c>
      <c r="C74" s="1213" t="s">
        <v>659</v>
      </c>
      <c r="D74" s="476">
        <v>5384122.2388085388</v>
      </c>
      <c r="E74" s="476">
        <v>4800868.1938447123</v>
      </c>
    </row>
    <row r="75" spans="1:6">
      <c r="A75" s="348" t="s">
        <v>65</v>
      </c>
      <c r="B75" s="348" t="s">
        <v>656</v>
      </c>
      <c r="C75" s="1213" t="s">
        <v>660</v>
      </c>
      <c r="D75" s="476">
        <v>9095186</v>
      </c>
      <c r="E75" s="476">
        <v>7855341.371868005</v>
      </c>
    </row>
    <row r="76" spans="1:6">
      <c r="A76" s="348" t="s">
        <v>65</v>
      </c>
      <c r="B76" s="348" t="s">
        <v>657</v>
      </c>
      <c r="C76" s="1213" t="s">
        <v>661</v>
      </c>
      <c r="D76" s="476">
        <v>727224.23880853911</v>
      </c>
      <c r="E76" s="476">
        <v>615629.16735088651</v>
      </c>
    </row>
    <row r="77" spans="1:6">
      <c r="A77" s="348" t="s">
        <v>66</v>
      </c>
      <c r="B77" s="348" t="s">
        <v>656</v>
      </c>
      <c r="C77" s="1213" t="s">
        <v>662</v>
      </c>
      <c r="D77" s="476">
        <v>104674151</v>
      </c>
      <c r="E77" s="476">
        <v>113966807.54507591</v>
      </c>
    </row>
    <row r="78" spans="1:6">
      <c r="A78" s="341" t="s">
        <v>66</v>
      </c>
      <c r="B78" s="341" t="s">
        <v>657</v>
      </c>
      <c r="C78" s="341" t="s">
        <v>663</v>
      </c>
      <c r="D78" s="1214">
        <v>25806923</v>
      </c>
      <c r="E78" s="1214">
        <v>27296883.599749487</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382111.52238292183</v>
      </c>
      <c r="C83" s="476">
        <v>381791.72117529763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23768.478942638369</v>
      </c>
    </row>
    <row r="91" spans="1:6">
      <c r="A91" s="348" t="s">
        <v>68</v>
      </c>
      <c r="B91" s="334">
        <v>2721.0438733906722</v>
      </c>
    </row>
    <row r="92" spans="1:6">
      <c r="A92" s="341" t="s">
        <v>69</v>
      </c>
      <c r="B92" s="342">
        <v>2483.3520329998642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2525</v>
      </c>
    </row>
    <row r="98" spans="1:6">
      <c r="A98" s="348" t="s">
        <v>72</v>
      </c>
      <c r="B98" s="334">
        <v>2</v>
      </c>
    </row>
    <row r="99" spans="1:6">
      <c r="A99" s="348" t="s">
        <v>73</v>
      </c>
      <c r="B99" s="334">
        <v>56</v>
      </c>
    </row>
    <row r="100" spans="1:6">
      <c r="A100" s="348" t="s">
        <v>74</v>
      </c>
      <c r="B100" s="334">
        <v>449</v>
      </c>
    </row>
    <row r="101" spans="1:6">
      <c r="A101" s="348" t="s">
        <v>75</v>
      </c>
      <c r="B101" s="334">
        <v>96</v>
      </c>
    </row>
    <row r="102" spans="1:6">
      <c r="A102" s="348" t="s">
        <v>76</v>
      </c>
      <c r="B102" s="334">
        <v>58</v>
      </c>
    </row>
    <row r="103" spans="1:6">
      <c r="A103" s="348" t="s">
        <v>77</v>
      </c>
      <c r="B103" s="334">
        <v>129</v>
      </c>
    </row>
    <row r="104" spans="1:6">
      <c r="A104" s="348" t="s">
        <v>78</v>
      </c>
      <c r="B104" s="334">
        <v>902</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11</v>
      </c>
      <c r="C123" s="334">
        <v>24</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175</v>
      </c>
    </row>
    <row r="130" spans="1:6">
      <c r="A130" s="348" t="s">
        <v>295</v>
      </c>
      <c r="B130" s="334">
        <v>2</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38484.651353684232</v>
      </c>
      <c r="C3" s="43" t="s">
        <v>170</v>
      </c>
      <c r="D3" s="43"/>
      <c r="E3" s="154"/>
      <c r="F3" s="43"/>
      <c r="G3" s="43"/>
      <c r="H3" s="43"/>
      <c r="I3" s="43"/>
      <c r="J3" s="43"/>
      <c r="K3" s="96"/>
    </row>
    <row r="4" spans="1:11">
      <c r="A4" s="383" t="s">
        <v>171</v>
      </c>
      <c r="B4" s="49">
        <f>IF(ISERROR('SEAP template'!B69),0,'SEAP template'!B69)</f>
        <v>30276.524849028909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4.7135569473079508E-2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1283.7857142857144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1075.5519999999999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1075.5519999999999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4.7135569473079508E-2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50.696756017909607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17854.57055</v>
      </c>
      <c r="C5" s="17">
        <f>IF(ISERROR('Eigen informatie GS &amp; warmtenet'!B57),0,'Eigen informatie GS &amp; warmtenet'!B57)</f>
        <v>0</v>
      </c>
      <c r="D5" s="30">
        <f>(SUM(HH_hh_gas_kWh,HH_rest_gas_kWh)/1000)*0.902</f>
        <v>46766.383889500001</v>
      </c>
      <c r="E5" s="17">
        <f>B46*B57</f>
        <v>2465.1373563447919</v>
      </c>
      <c r="F5" s="17">
        <f>B51*B62</f>
        <v>0</v>
      </c>
      <c r="G5" s="18"/>
      <c r="H5" s="17"/>
      <c r="I5" s="17"/>
      <c r="J5" s="17">
        <f>B50*B61+C50*C61</f>
        <v>581.79539496444863</v>
      </c>
      <c r="K5" s="17"/>
      <c r="L5" s="17"/>
      <c r="M5" s="17"/>
      <c r="N5" s="17">
        <f>B48*B59+C48*C59</f>
        <v>14401.807348205553</v>
      </c>
      <c r="O5" s="17">
        <f>B69*B70*B71</f>
        <v>314.23</v>
      </c>
      <c r="P5" s="17">
        <f>B77*B78*B79/1000-B77*B78*B79/1000/B80</f>
        <v>552.93333333333339</v>
      </c>
    </row>
    <row r="6" spans="1:16">
      <c r="A6" s="16" t="s">
        <v>621</v>
      </c>
      <c r="B6" s="843">
        <f>kWh_PV_kleiner_dan_10kW</f>
        <v>2721.0438733906722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20575.614423390674</v>
      </c>
      <c r="C8" s="21">
        <f>C5</f>
        <v>0</v>
      </c>
      <c r="D8" s="21">
        <f>D5</f>
        <v>46766.383889500001</v>
      </c>
      <c r="E8" s="21">
        <f>E5</f>
        <v>2465.1373563447919</v>
      </c>
      <c r="F8" s="21">
        <f>F5</f>
        <v>0</v>
      </c>
      <c r="G8" s="21"/>
      <c r="H8" s="21"/>
      <c r="I8" s="21"/>
      <c r="J8" s="21">
        <f>J5</f>
        <v>581.79539496444863</v>
      </c>
      <c r="K8" s="21"/>
      <c r="L8" s="21">
        <f>L5</f>
        <v>0</v>
      </c>
      <c r="M8" s="21">
        <f>M5</f>
        <v>0</v>
      </c>
      <c r="N8" s="21">
        <f>N5</f>
        <v>14401.807348205553</v>
      </c>
      <c r="O8" s="21">
        <f>O5</f>
        <v>314.23</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4.7135569473079508E-2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969.84330310502787</v>
      </c>
      <c r="C12" s="23">
        <f ca="1">C10*C8</f>
        <v>0</v>
      </c>
      <c r="D12" s="23">
        <f>D8*D10</f>
        <v>9446.8095456790015</v>
      </c>
      <c r="E12" s="23">
        <f>E10*E8</f>
        <v>559.58617989026777</v>
      </c>
      <c r="F12" s="23">
        <f>F10*F8</f>
        <v>0</v>
      </c>
      <c r="G12" s="23"/>
      <c r="H12" s="23"/>
      <c r="I12" s="23"/>
      <c r="J12" s="23">
        <f>J10*J8</f>
        <v>205.95556981741481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2525</v>
      </c>
      <c r="C18" s="166" t="s">
        <v>111</v>
      </c>
      <c r="D18" s="228"/>
      <c r="E18" s="15"/>
    </row>
    <row r="19" spans="1:7">
      <c r="A19" s="171" t="s">
        <v>72</v>
      </c>
      <c r="B19" s="37">
        <f>aantalw2001_ander</f>
        <v>2</v>
      </c>
      <c r="C19" s="166" t="s">
        <v>111</v>
      </c>
      <c r="D19" s="229"/>
      <c r="E19" s="15"/>
    </row>
    <row r="20" spans="1:7">
      <c r="A20" s="171" t="s">
        <v>73</v>
      </c>
      <c r="B20" s="37">
        <f>aantalw2001_propaan</f>
        <v>56</v>
      </c>
      <c r="C20" s="167">
        <f>IF(ISERROR(B20/SUM($B$20,$B$21,$B$22)*100),0,B20/SUM($B$20,$B$21,$B$22)*100)</f>
        <v>9.3178036605657244</v>
      </c>
      <c r="D20" s="229"/>
      <c r="E20" s="15"/>
    </row>
    <row r="21" spans="1:7">
      <c r="A21" s="171" t="s">
        <v>74</v>
      </c>
      <c r="B21" s="37">
        <f>aantalw2001_elektriciteit</f>
        <v>449</v>
      </c>
      <c r="C21" s="167">
        <f>IF(ISERROR(B21/SUM($B$20,$B$21,$B$22)*100),0,B21/SUM($B$20,$B$21,$B$22)*100)</f>
        <v>74.708818635607315</v>
      </c>
      <c r="D21" s="229"/>
      <c r="E21" s="15"/>
    </row>
    <row r="22" spans="1:7">
      <c r="A22" s="171" t="s">
        <v>75</v>
      </c>
      <c r="B22" s="37">
        <f>aantalw2001_hout</f>
        <v>96</v>
      </c>
      <c r="C22" s="167">
        <f>IF(ISERROR(B22/SUM($B$20,$B$21,$B$22)*100),0,B22/SUM($B$20,$B$21,$B$22)*100)</f>
        <v>15.973377703826955</v>
      </c>
      <c r="D22" s="229"/>
      <c r="E22" s="15"/>
    </row>
    <row r="23" spans="1:7">
      <c r="A23" s="171" t="s">
        <v>76</v>
      </c>
      <c r="B23" s="37">
        <f>aantalw2001_niet_gespec</f>
        <v>58</v>
      </c>
      <c r="C23" s="166" t="s">
        <v>111</v>
      </c>
      <c r="D23" s="228"/>
      <c r="E23" s="15"/>
    </row>
    <row r="24" spans="1:7">
      <c r="A24" s="171" t="s">
        <v>77</v>
      </c>
      <c r="B24" s="37">
        <f>aantalw2001_steenkool</f>
        <v>129</v>
      </c>
      <c r="C24" s="166" t="s">
        <v>111</v>
      </c>
      <c r="D24" s="229"/>
      <c r="E24" s="15"/>
    </row>
    <row r="25" spans="1:7">
      <c r="A25" s="171" t="s">
        <v>78</v>
      </c>
      <c r="B25" s="37">
        <f>aantalw2001_stookolie</f>
        <v>902</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4945</v>
      </c>
      <c r="C28" s="36"/>
      <c r="D28" s="228"/>
    </row>
    <row r="29" spans="1:7" s="15" customFormat="1">
      <c r="A29" s="230" t="s">
        <v>795</v>
      </c>
      <c r="B29" s="37">
        <f>SUM(HH_hh_gas_aantal,HH_rest_gas_aantal)</f>
        <v>3650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3650</v>
      </c>
      <c r="C32" s="167">
        <f>IF(ISERROR(B32/SUM($B$32,$B$34,$B$35,$B$36,$B$38,$B$39)*100),0,B32/SUM($B$32,$B$34,$B$35,$B$36,$B$38,$B$39)*100)</f>
        <v>74.247355573637108</v>
      </c>
      <c r="D32" s="233"/>
      <c r="G32" s="15"/>
    </row>
    <row r="33" spans="1:7">
      <c r="A33" s="171" t="s">
        <v>72</v>
      </c>
      <c r="B33" s="34" t="s">
        <v>111</v>
      </c>
      <c r="C33" s="167"/>
      <c r="D33" s="233"/>
      <c r="G33" s="15"/>
    </row>
    <row r="34" spans="1:7">
      <c r="A34" s="171" t="s">
        <v>73</v>
      </c>
      <c r="B34" s="33">
        <f>IF((($B$28-$B$32-$B$39-$B$77-$B$38)*C20/100)&lt;0,0,($B$28-$B$32-$B$39-$B$77-$B$38)*C20/100)</f>
        <v>116.42595673876873</v>
      </c>
      <c r="C34" s="167">
        <f>IF(ISERROR(B34/SUM($B$32,$B$34,$B$35,$B$36,$B$38,$B$39)*100),0,B34/SUM($B$32,$B$34,$B$35,$B$36,$B$38,$B$39)*100)</f>
        <v>2.3683066871189733</v>
      </c>
      <c r="D34" s="233"/>
      <c r="G34" s="15"/>
    </row>
    <row r="35" spans="1:7">
      <c r="A35" s="171" t="s">
        <v>74</v>
      </c>
      <c r="B35" s="33">
        <f>IF((($B$28-$B$32-$B$39-$B$77-$B$38)*C21/100)&lt;0,0,($B$28-$B$32-$B$39-$B$77-$B$38)*C21/100)</f>
        <v>933.4866888519133</v>
      </c>
      <c r="C35" s="167">
        <f>IF(ISERROR(B35/SUM($B$32,$B$34,$B$35,$B$36,$B$38,$B$39)*100),0,B35/SUM($B$32,$B$34,$B$35,$B$36,$B$38,$B$39)*100)</f>
        <v>18.98874468779319</v>
      </c>
      <c r="D35" s="233"/>
      <c r="G35" s="15"/>
    </row>
    <row r="36" spans="1:7">
      <c r="A36" s="171" t="s">
        <v>75</v>
      </c>
      <c r="B36" s="33">
        <f>IF((($B$28-$B$32-$B$39-$B$77-$B$38)*C22/100)&lt;0,0,($B$28-$B$32-$B$39-$B$77-$B$38)*C22/100)</f>
        <v>199.58735440931781</v>
      </c>
      <c r="C36" s="167">
        <f>IF(ISERROR(B36/SUM($B$32,$B$34,$B$35,$B$36,$B$38,$B$39)*100),0,B36/SUM($B$32,$B$34,$B$35,$B$36,$B$38,$B$39)*100)</f>
        <v>4.0599543207753825</v>
      </c>
      <c r="D36" s="233"/>
      <c r="G36" s="15"/>
    </row>
    <row r="37" spans="1:7">
      <c r="A37" s="171" t="s">
        <v>76</v>
      </c>
      <c r="B37" s="34" t="s">
        <v>111</v>
      </c>
      <c r="C37" s="167"/>
      <c r="D37" s="173"/>
      <c r="G37" s="15"/>
    </row>
    <row r="38" spans="1:7">
      <c r="A38" s="171" t="s">
        <v>77</v>
      </c>
      <c r="B38" s="33">
        <f>IF((B24-(B29-B18)*0.1)&lt;0,0,B24-(B29-B18)*0.1)</f>
        <v>16.5</v>
      </c>
      <c r="C38" s="167">
        <f>IF(ISERROR(B38/SUM($B$32,$B$34,$B$35,$B$36,$B$38,$B$39)*100),0,B38/SUM($B$32,$B$34,$B$35,$B$36,$B$38,$B$39)*100)</f>
        <v>0.33563873067534583</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3650</v>
      </c>
      <c r="C44" s="34" t="s">
        <v>111</v>
      </c>
      <c r="D44" s="174"/>
    </row>
    <row r="45" spans="1:7">
      <c r="A45" s="171" t="s">
        <v>72</v>
      </c>
      <c r="B45" s="33" t="str">
        <f t="shared" si="0"/>
        <v>-</v>
      </c>
      <c r="C45" s="34" t="s">
        <v>111</v>
      </c>
      <c r="D45" s="174"/>
    </row>
    <row r="46" spans="1:7">
      <c r="A46" s="171" t="s">
        <v>73</v>
      </c>
      <c r="B46" s="33">
        <f t="shared" si="0"/>
        <v>116.42595673876873</v>
      </c>
      <c r="C46" s="34" t="s">
        <v>111</v>
      </c>
      <c r="D46" s="174"/>
    </row>
    <row r="47" spans="1:7">
      <c r="A47" s="171" t="s">
        <v>74</v>
      </c>
      <c r="B47" s="33">
        <f t="shared" si="0"/>
        <v>933.4866888519133</v>
      </c>
      <c r="C47" s="34" t="s">
        <v>111</v>
      </c>
      <c r="D47" s="174"/>
    </row>
    <row r="48" spans="1:7">
      <c r="A48" s="171" t="s">
        <v>75</v>
      </c>
      <c r="B48" s="33">
        <f t="shared" si="0"/>
        <v>199.58735440931781</v>
      </c>
      <c r="C48" s="33">
        <f>B48*10</f>
        <v>1995.8735440931782</v>
      </c>
      <c r="D48" s="234"/>
    </row>
    <row r="49" spans="1:6">
      <c r="A49" s="171" t="s">
        <v>76</v>
      </c>
      <c r="B49" s="33" t="str">
        <f t="shared" si="0"/>
        <v>-</v>
      </c>
      <c r="C49" s="34" t="s">
        <v>111</v>
      </c>
      <c r="D49" s="234"/>
    </row>
    <row r="50" spans="1:6">
      <c r="A50" s="171" t="s">
        <v>77</v>
      </c>
      <c r="B50" s="33">
        <f t="shared" si="0"/>
        <v>16.5</v>
      </c>
      <c r="C50" s="33">
        <f>B50*2</f>
        <v>33</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9854.4431999999997</v>
      </c>
      <c r="C5" s="17">
        <f>IF(ISERROR('Eigen informatie GS &amp; warmtenet'!B58),0,'Eigen informatie GS &amp; warmtenet'!B58)</f>
        <v>0</v>
      </c>
      <c r="D5" s="30">
        <f>SUM(D6:D12)</f>
        <v>13510.855050000002</v>
      </c>
      <c r="E5" s="17">
        <f>SUM(E6:E12)</f>
        <v>178.03667062408306</v>
      </c>
      <c r="F5" s="17">
        <f>SUM(F6:F12)</f>
        <v>1856.2943470424964</v>
      </c>
      <c r="G5" s="18"/>
      <c r="H5" s="17"/>
      <c r="I5" s="17"/>
      <c r="J5" s="17">
        <f>SUM(J6:J12)</f>
        <v>3.8636345058897507E-2</v>
      </c>
      <c r="K5" s="17"/>
      <c r="L5" s="17"/>
      <c r="M5" s="17"/>
      <c r="N5" s="17">
        <f>SUM(N6:N12)</f>
        <v>1529.3565273443699</v>
      </c>
      <c r="O5" s="17">
        <f>B38*B39*B40</f>
        <v>3.1266666666666669</v>
      </c>
      <c r="P5" s="17">
        <f>B46*B47*B48/1000-B46*B47*B48/1000/B49</f>
        <v>19.066666666666666</v>
      </c>
      <c r="R5" s="32"/>
    </row>
    <row r="6" spans="1:18">
      <c r="A6" s="32" t="s">
        <v>54</v>
      </c>
      <c r="B6" s="37">
        <f>B26</f>
        <v>2085.1421</v>
      </c>
      <c r="C6" s="33"/>
      <c r="D6" s="37">
        <f>IF(ISERROR(TER_kantoor_gas_kWh/1000),0,TER_kantoor_gas_kWh/1000)*0.902</f>
        <v>3521.2916420000001</v>
      </c>
      <c r="E6" s="33">
        <f>$C$26*'E Balans VL '!I12/100/3.6*1000000</f>
        <v>1.3068977175402313E-2</v>
      </c>
      <c r="F6" s="33">
        <f>$C$26*('E Balans VL '!L12+'E Balans VL '!N12)/100/3.6*1000000</f>
        <v>313.33859320282829</v>
      </c>
      <c r="G6" s="34"/>
      <c r="H6" s="33"/>
      <c r="I6" s="33"/>
      <c r="J6" s="33">
        <f>$C$26*('E Balans VL '!D12+'E Balans VL '!E12)/100/3.6*1000000</f>
        <v>0</v>
      </c>
      <c r="K6" s="33"/>
      <c r="L6" s="33"/>
      <c r="M6" s="33"/>
      <c r="N6" s="33">
        <f>$C$26*'E Balans VL '!Y12/100/3.6*1000000</f>
        <v>1.9941292624055806</v>
      </c>
      <c r="O6" s="33"/>
      <c r="P6" s="33"/>
      <c r="R6" s="32"/>
    </row>
    <row r="7" spans="1:18">
      <c r="A7" s="32" t="s">
        <v>53</v>
      </c>
      <c r="B7" s="37">
        <f t="shared" ref="B7:B12" si="0">B27</f>
        <v>715.26199999999994</v>
      </c>
      <c r="C7" s="33"/>
      <c r="D7" s="37">
        <f>IF(ISERROR(TER_horeca_gas_kWh/1000),0,TER_horeca_gas_kWh/1000)*0.902</f>
        <v>1186.9923119999999</v>
      </c>
      <c r="E7" s="33">
        <f>$C$27*'E Balans VL '!I9/100/3.6*1000000</f>
        <v>10.242432700094382</v>
      </c>
      <c r="F7" s="33">
        <f>$C$27*('E Balans VL '!L9+'E Balans VL '!N9)/100/3.6*1000000</f>
        <v>90.575759449594742</v>
      </c>
      <c r="G7" s="34"/>
      <c r="H7" s="33"/>
      <c r="I7" s="33"/>
      <c r="J7" s="33">
        <f>$C$27*('E Balans VL '!D9+'E Balans VL '!E9)/100/3.6*1000000</f>
        <v>0</v>
      </c>
      <c r="K7" s="33"/>
      <c r="L7" s="33"/>
      <c r="M7" s="33"/>
      <c r="N7" s="33">
        <f>$C$27*'E Balans VL '!Y9/100/3.6*1000000</f>
        <v>0.20562205482660637</v>
      </c>
      <c r="O7" s="33"/>
      <c r="P7" s="33"/>
      <c r="R7" s="32"/>
    </row>
    <row r="8" spans="1:18">
      <c r="A8" s="6" t="s">
        <v>52</v>
      </c>
      <c r="B8" s="37">
        <f t="shared" si="0"/>
        <v>4466.7579999999998</v>
      </c>
      <c r="C8" s="33"/>
      <c r="D8" s="37">
        <f>IF(ISERROR(TER_handel_gas_kWh/1000),0,TER_handel_gas_kWh/1000)*0.902</f>
        <v>3094.4273579999999</v>
      </c>
      <c r="E8" s="33">
        <f>$C$28*'E Balans VL '!I13/100/3.6*1000000</f>
        <v>162.00876184408085</v>
      </c>
      <c r="F8" s="33">
        <f>$C$28*('E Balans VL '!L13+'E Balans VL '!N13)/100/3.6*1000000</f>
        <v>860.34281960030717</v>
      </c>
      <c r="G8" s="34"/>
      <c r="H8" s="33"/>
      <c r="I8" s="33"/>
      <c r="J8" s="33">
        <f>$C$28*('E Balans VL '!D13+'E Balans VL '!E13)/100/3.6*1000000</f>
        <v>0</v>
      </c>
      <c r="K8" s="33"/>
      <c r="L8" s="33"/>
      <c r="M8" s="33"/>
      <c r="N8" s="33">
        <f>$C$28*'E Balans VL '!Y13/100/3.6*1000000</f>
        <v>6.1874875851792925</v>
      </c>
      <c r="O8" s="33"/>
      <c r="P8" s="33"/>
      <c r="R8" s="32"/>
    </row>
    <row r="9" spans="1:18">
      <c r="A9" s="32" t="s">
        <v>51</v>
      </c>
      <c r="B9" s="37">
        <f t="shared" si="0"/>
        <v>567.70209999999997</v>
      </c>
      <c r="C9" s="33"/>
      <c r="D9" s="37">
        <f>IF(ISERROR(TER_gezond_gas_kWh/1000),0,TER_gezond_gas_kWh/1000)*0.902</f>
        <v>1700.5028062000001</v>
      </c>
      <c r="E9" s="33">
        <f>$C$29*'E Balans VL '!I10/100/3.6*1000000</f>
        <v>3.5543756505627459E-2</v>
      </c>
      <c r="F9" s="33">
        <f>$C$29*('E Balans VL '!L10+'E Balans VL '!N10)/100/3.6*1000000</f>
        <v>84.333875443281968</v>
      </c>
      <c r="G9" s="34"/>
      <c r="H9" s="33"/>
      <c r="I9" s="33"/>
      <c r="J9" s="33">
        <f>$C$29*('E Balans VL '!D10+'E Balans VL '!E10)/100/3.6*1000000</f>
        <v>0</v>
      </c>
      <c r="K9" s="33"/>
      <c r="L9" s="33"/>
      <c r="M9" s="33"/>
      <c r="N9" s="33">
        <f>$C$29*'E Balans VL '!Y10/100/3.6*1000000</f>
        <v>8.7812708613701673</v>
      </c>
      <c r="O9" s="33"/>
      <c r="P9" s="33"/>
      <c r="R9" s="32"/>
    </row>
    <row r="10" spans="1:18">
      <c r="A10" s="32" t="s">
        <v>50</v>
      </c>
      <c r="B10" s="37">
        <f t="shared" si="0"/>
        <v>1779.9780000000001</v>
      </c>
      <c r="C10" s="33"/>
      <c r="D10" s="37">
        <f>IF(ISERROR(TER_ander_gas_kWh/1000),0,TER_ander_gas_kWh/1000)*0.902</f>
        <v>2440.0839958000001</v>
      </c>
      <c r="E10" s="33">
        <f>$C$30*'E Balans VL '!I14/100/3.6*1000000</f>
        <v>2.1216701703337493</v>
      </c>
      <c r="F10" s="33">
        <f>$C$30*('E Balans VL '!L14+'E Balans VL '!N14)/100/3.6*1000000</f>
        <v>465.72137640663499</v>
      </c>
      <c r="G10" s="34"/>
      <c r="H10" s="33"/>
      <c r="I10" s="33"/>
      <c r="J10" s="33">
        <f>$C$30*('E Balans VL '!D14+'E Balans VL '!E14)/100/3.6*1000000</f>
        <v>3.8636345058897507E-2</v>
      </c>
      <c r="K10" s="33"/>
      <c r="L10" s="33"/>
      <c r="M10" s="33"/>
      <c r="N10" s="33">
        <f>$C$30*'E Balans VL '!Y14/100/3.6*1000000</f>
        <v>1511.5137621514266</v>
      </c>
      <c r="O10" s="33"/>
      <c r="P10" s="33"/>
      <c r="R10" s="32"/>
    </row>
    <row r="11" spans="1:18">
      <c r="A11" s="32" t="s">
        <v>55</v>
      </c>
      <c r="B11" s="37">
        <f t="shared" si="0"/>
        <v>239.601</v>
      </c>
      <c r="C11" s="33"/>
      <c r="D11" s="37">
        <f>IF(ISERROR(TER_onderwijs_gas_kWh/1000),0,TER_onderwijs_gas_kWh/1000)*0.902</f>
        <v>1567.556936</v>
      </c>
      <c r="E11" s="33">
        <f>$C$31*'E Balans VL '!I11/100/3.6*1000000</f>
        <v>3.6151931758930456</v>
      </c>
      <c r="F11" s="33">
        <f>$C$31*('E Balans VL '!L11+'E Balans VL '!N11)/100/3.6*1000000</f>
        <v>41.981922939848985</v>
      </c>
      <c r="G11" s="34"/>
      <c r="H11" s="33"/>
      <c r="I11" s="33"/>
      <c r="J11" s="33">
        <f>$C$31*('E Balans VL '!D11+'E Balans VL '!E11)/100/3.6*1000000</f>
        <v>0</v>
      </c>
      <c r="K11" s="33"/>
      <c r="L11" s="33"/>
      <c r="M11" s="33"/>
      <c r="N11" s="33">
        <f>$C$31*'E Balans VL '!Y11/100/3.6*1000000</f>
        <v>0.67425542916168757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855</v>
      </c>
      <c r="C13" s="247">
        <f ca="1">'lokale energieproductie'!O90+'lokale energieproductie'!O59</f>
        <v>1221.4285714285716</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-2442.8571428571431</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10709.4432</v>
      </c>
      <c r="C16" s="21">
        <f t="shared" ca="1" si="1"/>
        <v>1221.4285714285716</v>
      </c>
      <c r="D16" s="21">
        <f t="shared" ca="1" si="1"/>
        <v>13510.855050000002</v>
      </c>
      <c r="E16" s="21">
        <f t="shared" si="1"/>
        <v>178.03667062408306</v>
      </c>
      <c r="F16" s="21">
        <f t="shared" ca="1" si="1"/>
        <v>1856.2943470424964</v>
      </c>
      <c r="G16" s="21">
        <f t="shared" si="1"/>
        <v>0</v>
      </c>
      <c r="H16" s="21">
        <f t="shared" si="1"/>
        <v>0</v>
      </c>
      <c r="I16" s="21">
        <f t="shared" si="1"/>
        <v>0</v>
      </c>
      <c r="J16" s="21">
        <f t="shared" si="1"/>
        <v>3.8636345058897507E-2</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4.7135569473079508E-2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504.79570397159893</v>
      </c>
      <c r="C20" s="23">
        <f t="shared" ref="C20:P20" ca="1" si="2">C16*C18</f>
        <v>0</v>
      </c>
      <c r="D20" s="23">
        <f t="shared" ca="1" si="2"/>
        <v>2729.1927201000008</v>
      </c>
      <c r="E20" s="23">
        <f t="shared" si="2"/>
        <v>40.414324231666853</v>
      </c>
      <c r="F20" s="23">
        <f t="shared" ca="1" si="2"/>
        <v>495.63059066034657</v>
      </c>
      <c r="G20" s="23">
        <f t="shared" si="2"/>
        <v>0</v>
      </c>
      <c r="H20" s="23">
        <f t="shared" si="2"/>
        <v>0</v>
      </c>
      <c r="I20" s="23">
        <f t="shared" si="2"/>
        <v>0</v>
      </c>
      <c r="J20" s="23">
        <f t="shared" si="2"/>
        <v>1.3677266150849717E-2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2085.1421</v>
      </c>
      <c r="C26" s="39">
        <f>IF(ISERROR(B26*3.6/1000000/'E Balans VL '!Z12*100),0,B26*3.6/1000000/'E Balans VL '!Z12*100)</f>
        <v>4.407660086210289E-2</v>
      </c>
      <c r="D26" s="237" t="s">
        <v>754</v>
      </c>
      <c r="F26" s="6"/>
    </row>
    <row r="27" spans="1:18">
      <c r="A27" s="231" t="s">
        <v>53</v>
      </c>
      <c r="B27" s="33">
        <f>IF(ISERROR(TER_horeca_ele_kWh/1000),0,TER_horeca_ele_kWh/1000)</f>
        <v>715.26199999999994</v>
      </c>
      <c r="C27" s="39">
        <f>IF(ISERROR(B27*3.6/1000000/'E Balans VL '!Z9*100),0,B27*3.6/1000000/'E Balans VL '!Z9*100)</f>
        <v>5.6383836868242596E-2</v>
      </c>
      <c r="D27" s="237" t="s">
        <v>754</v>
      </c>
      <c r="F27" s="6"/>
    </row>
    <row r="28" spans="1:18">
      <c r="A28" s="171" t="s">
        <v>52</v>
      </c>
      <c r="B28" s="33">
        <f>IF(ISERROR(TER_handel_ele_kWh/1000),0,TER_handel_ele_kWh/1000)</f>
        <v>4466.7579999999998</v>
      </c>
      <c r="C28" s="39">
        <f>IF(ISERROR(B28*3.6/1000000/'E Balans VL '!Z13*100),0,B28*3.6/1000000/'E Balans VL '!Z13*100)</f>
        <v>0.1296433648846777</v>
      </c>
      <c r="D28" s="237" t="s">
        <v>754</v>
      </c>
      <c r="F28" s="6"/>
    </row>
    <row r="29" spans="1:18">
      <c r="A29" s="231" t="s">
        <v>51</v>
      </c>
      <c r="B29" s="33">
        <f>IF(ISERROR(TER_gezond_ele_kWh/1000),0,TER_gezond_ele_kWh/1000)</f>
        <v>567.70209999999997</v>
      </c>
      <c r="C29" s="39">
        <f>IF(ISERROR(B29*3.6/1000000/'E Balans VL '!Z10*100),0,B29*3.6/1000000/'E Balans VL '!Z10*100)</f>
        <v>5.9788353044544509E-2</v>
      </c>
      <c r="D29" s="237" t="s">
        <v>754</v>
      </c>
      <c r="F29" s="6"/>
    </row>
    <row r="30" spans="1:18">
      <c r="A30" s="231" t="s">
        <v>50</v>
      </c>
      <c r="B30" s="33">
        <f>IF(ISERROR(TER_ander_ele_kWh/1000),0,TER_ander_ele_kWh/1000)</f>
        <v>1779.9780000000001</v>
      </c>
      <c r="C30" s="39">
        <f>IF(ISERROR(B30*3.6/1000000/'E Balans VL '!Z14*100),0,B30*3.6/1000000/'E Balans VL '!Z14*100)</f>
        <v>0.13129156388929847</v>
      </c>
      <c r="D30" s="237" t="s">
        <v>754</v>
      </c>
      <c r="F30" s="6"/>
    </row>
    <row r="31" spans="1:18">
      <c r="A31" s="231" t="s">
        <v>55</v>
      </c>
      <c r="B31" s="33">
        <f>IF(ISERROR(TER_onderwijs_ele_kWh/1000),0,TER_onderwijs_ele_kWh/1000)</f>
        <v>239.601</v>
      </c>
      <c r="C31" s="39">
        <f>IF(ISERROR(B31*3.6/1000000/'E Balans VL '!Z11*100),0,B31*3.6/1000000/'E Balans VL '!Z11*100)</f>
        <v>5.9504151871819268E-2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3894.5712999999996</v>
      </c>
      <c r="C5" s="17">
        <f>IF(ISERROR('Eigen informatie GS &amp; warmtenet'!B59),0,'Eigen informatie GS &amp; warmtenet'!B59)</f>
        <v>0</v>
      </c>
      <c r="D5" s="30">
        <f>SUM(D6:D15)</f>
        <v>5473.3242289000009</v>
      </c>
      <c r="E5" s="17">
        <f>SUM(E6:E15)</f>
        <v>691.6646191158128</v>
      </c>
      <c r="F5" s="17">
        <f>SUM(F6:F15)</f>
        <v>2152.3092112883446</v>
      </c>
      <c r="G5" s="18"/>
      <c r="H5" s="17"/>
      <c r="I5" s="17"/>
      <c r="J5" s="17">
        <f>SUM(J6:J15)</f>
        <v>1.3059866990338842</v>
      </c>
      <c r="K5" s="17"/>
      <c r="L5" s="17"/>
      <c r="M5" s="17"/>
      <c r="N5" s="17">
        <f>SUM(N6:N15)</f>
        <v>1532.2014907850962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446.75700000000001</v>
      </c>
      <c r="C8" s="33"/>
      <c r="D8" s="37">
        <f>IF( ISERROR(IND_metaal_Gas_kWH/1000),0,IND_metaal_Gas_kWH/1000)*0.902</f>
        <v>591.63352600000007</v>
      </c>
      <c r="E8" s="33">
        <f>C30*'E Balans VL '!I18/100/3.6*1000000</f>
        <v>4.1074991329859936</v>
      </c>
      <c r="F8" s="33">
        <f>C30*'E Balans VL '!L18/100/3.6*1000000+C30*'E Balans VL '!N18/100/3.6*1000000</f>
        <v>41.89093255385086</v>
      </c>
      <c r="G8" s="34"/>
      <c r="H8" s="33"/>
      <c r="I8" s="33"/>
      <c r="J8" s="40">
        <f>C30*'E Balans VL '!D18/100/3.6*1000000+C30*'E Balans VL '!E18/100/3.6*1000000</f>
        <v>0</v>
      </c>
      <c r="K8" s="33"/>
      <c r="L8" s="33"/>
      <c r="M8" s="33"/>
      <c r="N8" s="33">
        <f>C30*'E Balans VL '!Y18/100/3.6*1000000</f>
        <v>6.3737269020329625</v>
      </c>
      <c r="O8" s="33"/>
      <c r="P8" s="33"/>
      <c r="R8" s="32"/>
    </row>
    <row r="9" spans="1:18">
      <c r="A9" s="6" t="s">
        <v>33</v>
      </c>
      <c r="B9" s="37">
        <f t="shared" si="0"/>
        <v>2272.7632999999996</v>
      </c>
      <c r="C9" s="33"/>
      <c r="D9" s="37">
        <f>IF( ISERROR(IND_andere_gas_kWh/1000),0,IND_andere_gas_kWh/1000)*0.902</f>
        <v>3885.1358469000006</v>
      </c>
      <c r="E9" s="33">
        <f>C31*'E Balans VL '!I19/100/3.6*1000000</f>
        <v>664.37295807272631</v>
      </c>
      <c r="F9" s="33">
        <f>C31*'E Balans VL '!L19/100/3.6*1000000+C31*'E Balans VL '!N19/100/3.6*1000000</f>
        <v>1826.337343924456</v>
      </c>
      <c r="G9" s="34"/>
      <c r="H9" s="33"/>
      <c r="I9" s="33"/>
      <c r="J9" s="40">
        <f>C31*'E Balans VL '!D19/100/3.6*1000000+C31*'E Balans VL '!E19/100/3.6*1000000</f>
        <v>0</v>
      </c>
      <c r="K9" s="33"/>
      <c r="L9" s="33"/>
      <c r="M9" s="33"/>
      <c r="N9" s="33">
        <f>C31*'E Balans VL '!Y19/100/3.6*1000000</f>
        <v>750.95624237969332</v>
      </c>
      <c r="O9" s="33"/>
      <c r="P9" s="33"/>
      <c r="R9" s="32"/>
    </row>
    <row r="10" spans="1:18">
      <c r="A10" s="6" t="s">
        <v>41</v>
      </c>
      <c r="B10" s="37">
        <f t="shared" si="0"/>
        <v>195.959</v>
      </c>
      <c r="C10" s="33"/>
      <c r="D10" s="37">
        <f>IF( ISERROR(IND_voed_gas_kWh/1000),0,IND_voed_gas_kWh/1000)*0.902</f>
        <v>254.59581400000002</v>
      </c>
      <c r="E10" s="33">
        <f>C32*'E Balans VL '!I20/100/3.6*1000000</f>
        <v>0.41455430288028111</v>
      </c>
      <c r="F10" s="33">
        <f>C32*'E Balans VL '!L20/100/3.6*1000000+C32*'E Balans VL '!N20/100/3.6*1000000</f>
        <v>12.459273386248714</v>
      </c>
      <c r="G10" s="34"/>
      <c r="H10" s="33"/>
      <c r="I10" s="33"/>
      <c r="J10" s="40">
        <f>C32*'E Balans VL '!D20/100/3.6*1000000+C32*'E Balans VL '!E20/100/3.6*1000000</f>
        <v>0</v>
      </c>
      <c r="K10" s="33"/>
      <c r="L10" s="33"/>
      <c r="M10" s="33"/>
      <c r="N10" s="33">
        <f>C32*'E Balans VL '!Y20/100/3.6*1000000</f>
        <v>13.523104770662876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775.58</v>
      </c>
      <c r="C12" s="33"/>
      <c r="D12" s="37">
        <f>IF( ISERROR(IND_min_gas_kWh/1000),0,IND_min_gas_kWh/1000)*0.902</f>
        <v>409.54137400000002</v>
      </c>
      <c r="E12" s="33">
        <f>C34*'E Balans VL '!I22/100/3.6*1000000</f>
        <v>22.480870622053256</v>
      </c>
      <c r="F12" s="33">
        <f>C34*'E Balans VL '!L22/100/3.6*1000000+C34*'E Balans VL '!N22/100/3.6*1000000</f>
        <v>266.65316824932967</v>
      </c>
      <c r="G12" s="34"/>
      <c r="H12" s="33"/>
      <c r="I12" s="33"/>
      <c r="J12" s="40">
        <f>C34*'E Balans VL '!D22/100/3.6*1000000+C34*'E Balans VL '!E22/100/3.6*1000000</f>
        <v>1.2745116575467959</v>
      </c>
      <c r="K12" s="33"/>
      <c r="L12" s="33"/>
      <c r="M12" s="33"/>
      <c r="N12" s="33">
        <f>C34*'E Balans VL '!Y22/100/3.6*1000000</f>
        <v>169.78720733205452</v>
      </c>
      <c r="O12" s="33"/>
      <c r="P12" s="33"/>
      <c r="R12" s="32"/>
    </row>
    <row r="13" spans="1:18">
      <c r="A13" s="6" t="s">
        <v>39</v>
      </c>
      <c r="B13" s="37">
        <f t="shared" si="0"/>
        <v>203.512</v>
      </c>
      <c r="C13" s="33"/>
      <c r="D13" s="37">
        <f>IF( ISERROR(IND_papier_gas_kWh/1000),0,IND_papier_gas_kWh/1000)*0.902</f>
        <v>332.41766799999999</v>
      </c>
      <c r="E13" s="33">
        <f>C35*'E Balans VL '!I23/100/3.6*1000000</f>
        <v>0.28873698516691104</v>
      </c>
      <c r="F13" s="33">
        <f>C35*'E Balans VL '!L23/100/3.6*1000000+C35*'E Balans VL '!N23/100/3.6*1000000</f>
        <v>4.9684931744593293</v>
      </c>
      <c r="G13" s="34"/>
      <c r="H13" s="33"/>
      <c r="I13" s="33"/>
      <c r="J13" s="40">
        <f>C35*'E Balans VL '!D23/100/3.6*1000000+C35*'E Balans VL '!E23/100/3.6*1000000</f>
        <v>3.14750414870884E-2</v>
      </c>
      <c r="K13" s="33"/>
      <c r="L13" s="33"/>
      <c r="M13" s="33"/>
      <c r="N13" s="33">
        <f>C35*'E Balans VL '!Y23/100/3.6*1000000</f>
        <v>591.56120940065239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3894.5712999999996</v>
      </c>
      <c r="C18" s="21">
        <f>C5+C16</f>
        <v>0</v>
      </c>
      <c r="D18" s="21">
        <f>MAX((D5+D16),0)</f>
        <v>5473.3242289000009</v>
      </c>
      <c r="E18" s="21">
        <f>MAX((E5+E16),0)</f>
        <v>691.6646191158128</v>
      </c>
      <c r="F18" s="21">
        <f>MAX((F5+F16),0)</f>
        <v>2152.3092112883446</v>
      </c>
      <c r="G18" s="21"/>
      <c r="H18" s="21"/>
      <c r="I18" s="21"/>
      <c r="J18" s="21">
        <f>MAX((J5+J16),0)</f>
        <v>1.3059866990338842</v>
      </c>
      <c r="K18" s="21"/>
      <c r="L18" s="21">
        <f>MAX((L5+L16),0)</f>
        <v>0</v>
      </c>
      <c r="M18" s="21"/>
      <c r="N18" s="21">
        <f>MAX((N5+N16),0)</f>
        <v>1532.2014907850962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4.7135569473079508E-2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183.57283607901155</v>
      </c>
      <c r="C22" s="23">
        <f ca="1">C18*C20</f>
        <v>0</v>
      </c>
      <c r="D22" s="23">
        <f>D18*D20</f>
        <v>1105.6114942378003</v>
      </c>
      <c r="E22" s="23">
        <f>E18*E20</f>
        <v>157.00786853928952</v>
      </c>
      <c r="F22" s="23">
        <f>F18*F20</f>
        <v>574.66655941398801</v>
      </c>
      <c r="G22" s="23"/>
      <c r="H22" s="23"/>
      <c r="I22" s="23"/>
      <c r="J22" s="23">
        <f>J18*J20</f>
        <v>0.462319291457995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446.75700000000001</v>
      </c>
      <c r="C30" s="39">
        <f>IF(ISERROR(B30*3.6/1000000/'E Balans VL '!Z18*100),0,B30*3.6/1000000/'E Balans VL '!Z18*100)</f>
        <v>2.531886474987316E-2</v>
      </c>
      <c r="D30" s="237" t="s">
        <v>754</v>
      </c>
    </row>
    <row r="31" spans="1:18">
      <c r="A31" s="6" t="s">
        <v>33</v>
      </c>
      <c r="B31" s="37">
        <f>IF( ISERROR(IND_ander_ele_kWh/1000),0,IND_ander_ele_kWh/1000)</f>
        <v>2272.7632999999996</v>
      </c>
      <c r="C31" s="39">
        <f>IF(ISERROR(B31*3.6/1000000/'E Balans VL '!Z19*100),0,B31*3.6/1000000/'E Balans VL '!Z19*100)</f>
        <v>0.10308307966633021</v>
      </c>
      <c r="D31" s="237" t="s">
        <v>754</v>
      </c>
    </row>
    <row r="32" spans="1:18">
      <c r="A32" s="171" t="s">
        <v>41</v>
      </c>
      <c r="B32" s="37">
        <f>IF( ISERROR(IND_voed_ele_kWh/1000),0,IND_voed_ele_kWh/1000)</f>
        <v>195.959</v>
      </c>
      <c r="C32" s="39">
        <f>IF(ISERROR(B32*3.6/1000000/'E Balans VL '!Z20*100),0,B32*3.6/1000000/'E Balans VL '!Z20*100)</f>
        <v>6.0619014487479786E-3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775.58</v>
      </c>
      <c r="C34" s="39">
        <f>IF(ISERROR(B34*3.6/1000000/'E Balans VL '!Z22*100),0,B34*3.6/1000000/'E Balans VL '!Z22*100)</f>
        <v>0.13950264418268424</v>
      </c>
      <c r="D34" s="237" t="s">
        <v>754</v>
      </c>
    </row>
    <row r="35" spans="1:5">
      <c r="A35" s="171" t="s">
        <v>39</v>
      </c>
      <c r="B35" s="37">
        <f>IF( ISERROR(IND_papier_ele_kWh/1000),0,IND_papier_ele_kWh/1000)</f>
        <v>203.512</v>
      </c>
      <c r="C35" s="39">
        <f>IF(ISERROR(B35*3.6/1000000/'E Balans VL '!Z22*100),0,B35*3.6/1000000/'E Balans VL '!Z22*100)</f>
        <v>3.6605459298726668E-2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2165.8310000000001</v>
      </c>
      <c r="C5" s="17">
        <f>'Eigen informatie GS &amp; warmtenet'!B60</f>
        <v>0</v>
      </c>
      <c r="D5" s="30">
        <f>IF(ISERROR(SUM(LB_lb_gas_kWh,LB_rest_gas_kWh,onbekend_gas_kWh)/1000),0,SUM(LB_lb_gas_kWh,LB_rest_gas_kWh,onbekend_gas_kWh)/1000)*0.902</f>
        <v>1010.0848560000001</v>
      </c>
      <c r="E5" s="17">
        <f>B17*'E Balans VL '!I25/3.6*1000000/100</f>
        <v>63.660388301411615</v>
      </c>
      <c r="F5" s="17">
        <f>B17*('E Balans VL '!L25/3.6*1000000+'E Balans VL '!N25/3.6*1000000)/100</f>
        <v>9022.7349106356742</v>
      </c>
      <c r="G5" s="18"/>
      <c r="H5" s="17"/>
      <c r="I5" s="17"/>
      <c r="J5" s="17">
        <f>('E Balans VL '!D25+'E Balans VL '!E25)/3.6*1000000*landbouw!B17/100</f>
        <v>313.7824001468602</v>
      </c>
      <c r="K5" s="17"/>
      <c r="L5" s="17">
        <f>L6*(-1)</f>
        <v>1012.5</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-1012.5</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2165.8310000000001</v>
      </c>
      <c r="C8" s="21">
        <f>C5+C6</f>
        <v>62.357142857142847</v>
      </c>
      <c r="D8" s="21">
        <f>MAX((D5+D6),0)</f>
        <v>1010.0848560000001</v>
      </c>
      <c r="E8" s="21">
        <f>MAX((E5+E6),0)</f>
        <v>63.660388301411615</v>
      </c>
      <c r="F8" s="21">
        <f>MAX((F5+F6),0)</f>
        <v>9022.7349106356742</v>
      </c>
      <c r="G8" s="21"/>
      <c r="H8" s="21"/>
      <c r="I8" s="21"/>
      <c r="J8" s="21">
        <f>MAX((J5+J6),0)</f>
        <v>313.7824001468602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4.7135569473079508E-2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102.08767756744928</v>
      </c>
      <c r="C12" s="23">
        <f ca="1">C8*C10</f>
        <v>0</v>
      </c>
      <c r="D12" s="23">
        <f>D8*D10</f>
        <v>204.03714091200001</v>
      </c>
      <c r="E12" s="23">
        <f>E8*E10</f>
        <v>14.450908144420437</v>
      </c>
      <c r="F12" s="23">
        <f>F8*F10</f>
        <v>2409.0702211397252</v>
      </c>
      <c r="G12" s="23"/>
      <c r="H12" s="23"/>
      <c r="I12" s="23"/>
      <c r="J12" s="23">
        <f>J8*J10</f>
        <v>111.0789696519885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0.30733821398753347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540.80465284975594</v>
      </c>
      <c r="C26" s="247">
        <f>B26*'GWP N2O_CH4'!B5</f>
        <v>11356.897709844874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188.06000218583171</v>
      </c>
      <c r="C27" s="247">
        <f>B27*'GWP N2O_CH4'!B5</f>
        <v>3949.2600459024657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6.7155522739634241</v>
      </c>
      <c r="C28" s="247">
        <f>B28*'GWP N2O_CH4'!B4</f>
        <v>2081.8212049286617</v>
      </c>
      <c r="D28" s="50"/>
    </row>
    <row r="29" spans="1:4">
      <c r="A29" s="41" t="s">
        <v>277</v>
      </c>
      <c r="B29" s="247">
        <f>B34*'ha_N2O bodem landbouw'!B4</f>
        <v>20.487890722810221</v>
      </c>
      <c r="C29" s="247">
        <f>B29*'GWP N2O_CH4'!B4</f>
        <v>6351.2461240711682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4.6752660585328773E-3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2.2910194905684443E-4</v>
      </c>
      <c r="C5" s="463" t="s">
        <v>211</v>
      </c>
      <c r="D5" s="448">
        <f>SUM(D6:D11)</f>
        <v>7.3770642042490645E-4</v>
      </c>
      <c r="E5" s="448">
        <f>SUM(E6:E11)</f>
        <v>1.1567977408566447E-3</v>
      </c>
      <c r="F5" s="461" t="s">
        <v>211</v>
      </c>
      <c r="G5" s="448">
        <f>SUM(G6:G11)</f>
        <v>0.56544274497184799</v>
      </c>
      <c r="H5" s="448">
        <f>SUM(H6:H11)</f>
        <v>8.5969496113924834E-2</v>
      </c>
      <c r="I5" s="463" t="s">
        <v>211</v>
      </c>
      <c r="J5" s="463" t="s">
        <v>211</v>
      </c>
      <c r="K5" s="463" t="s">
        <v>211</v>
      </c>
      <c r="L5" s="463" t="s">
        <v>211</v>
      </c>
      <c r="M5" s="448">
        <f>SUM(M6:M11)</f>
        <v>3.5588215826420196E-2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6.7975906127040831E-5</v>
      </c>
      <c r="C6" s="449"/>
      <c r="D6" s="962">
        <f>vkm_2011_GW_PW*SUMIFS(TableVerdeelsleutelVkm[CNG],TableVerdeelsleutelVkm[Voertuigtype],"Lichte voertuigen")*SUMIFS(TableECFTransport[EnergieConsumptieFactor (PJ per km)],TableECFTransport[Index],CONCATENATE($A6,"_CNG_CNG"))</f>
        <v>2.0388870375981401E-4</v>
      </c>
      <c r="E6" s="962">
        <f>vkm_2011_GW_PW*SUMIFS(TableVerdeelsleutelVkm[LPG],TableVerdeelsleutelVkm[Voertuigtype],"Lichte voertuigen")*SUMIFS(TableECFTransport[EnergieConsumptieFactor (PJ per km)],TableECFTransport[Index],CONCATENATE($A6,"_LPG_LPG"))</f>
        <v>2.7854125650486329E-4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7.2018000402502225E-2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2.3185937923747946E-2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4.8957729665664229E-3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5.0524867382535039E-2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1.5396259533656335E-5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2.9525054819824577E-3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1.2881074712517212E-5</v>
      </c>
      <c r="C8" s="449"/>
      <c r="D8" s="451">
        <f>vkm_2011_NGW_PW*SUMIFS(TableVerdeelsleutelVkm[CNG],TableVerdeelsleutelVkm[Voertuigtype],"Lichte voertuigen")*SUMIFS(TableECFTransport[EnergieConsumptieFactor (PJ per km)],TableECFTransport[Index],CONCATENATE($A8,"_CNG_CNG"))</f>
        <v>6.86949404605231E-5</v>
      </c>
      <c r="E8" s="451">
        <f>vkm_2011_NGW_PW*SUMIFS(TableVerdeelsleutelVkm[LPG],TableVerdeelsleutelVkm[Voertuigtype],"Lichte voertuigen")*SUMIFS(TableECFTransport[EnergieConsumptieFactor (PJ per km)],TableECFTransport[Index],CONCATENATE($A8,"_LPG_LPG"))</f>
        <v>8.6913115847499982E-5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2.0941291057989687E-2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7.5914484329729168E-3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1.4487899312873357E-3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8.7504258728183983E-3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2.510265648392049E-6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5.1134119713876192E-4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1.4824496821728639E-4</v>
      </c>
      <c r="C10" s="449"/>
      <c r="D10" s="451">
        <f>vkm_2011_SW_PW*SUMIFS(TableVerdeelsleutelVkm[CNG],TableVerdeelsleutelVkm[Voertuigtype],"Lichte voertuigen")*SUMIFS(TableECFTransport[EnergieConsumptieFactor (PJ per km)],TableECFTransport[Index],CONCATENATE($A10,"_CNG_CNG"))</f>
        <v>4.6512277620456937E-4</v>
      </c>
      <c r="E10" s="451">
        <f>vkm_2011_SW_PW*SUMIFS(TableVerdeelsleutelVkm[LPG],TableVerdeelsleutelVkm[Voertuigtype],"Lichte voertuigen")*SUMIFS(TableECFTransport[EnergieConsumptieFactor (PJ per km)],TableECFTransport[Index],CONCATENATE($A10,"_LPG_LPG"))</f>
        <v>7.9134336850428136E-4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0.18240643938499757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5.5098253086422487E-2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1.2292353348863055E-2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0.23080172087100509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7.5950145599434747E-5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1.3487452900582163E-2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63.639430293567898</v>
      </c>
      <c r="C14" s="21"/>
      <c r="D14" s="21">
        <f t="shared" ref="D14:M14" si="0">((D5)*10^9/3600)+D12</f>
        <v>204.91845011802957</v>
      </c>
      <c r="E14" s="21">
        <f t="shared" si="0"/>
        <v>321.33270579351239</v>
      </c>
      <c r="F14" s="21"/>
      <c r="G14" s="21">
        <f t="shared" si="0"/>
        <v>157067.42915884667</v>
      </c>
      <c r="H14" s="21">
        <f t="shared" si="0"/>
        <v>23880.415587201343</v>
      </c>
      <c r="I14" s="21"/>
      <c r="J14" s="21"/>
      <c r="K14" s="21"/>
      <c r="L14" s="21"/>
      <c r="M14" s="21">
        <f t="shared" si="0"/>
        <v>9885.6155073389436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4.7135569473079508E-2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2.9996807878296705</v>
      </c>
      <c r="C18" s="23"/>
      <c r="D18" s="23">
        <f t="shared" ref="D18:M18" si="1">D14*D16</f>
        <v>41.393526923841975</v>
      </c>
      <c r="E18" s="23">
        <f t="shared" si="1"/>
        <v>72.942524215127321</v>
      </c>
      <c r="F18" s="23"/>
      <c r="G18" s="23">
        <f t="shared" si="1"/>
        <v>41937.003585412065</v>
      </c>
      <c r="H18" s="23">
        <f t="shared" si="1"/>
        <v>5946.2234812131346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4.7993806511956449E-3</v>
      </c>
      <c r="H50" s="321">
        <f t="shared" si="2"/>
        <v>0</v>
      </c>
      <c r="I50" s="321">
        <f t="shared" si="2"/>
        <v>0</v>
      </c>
      <c r="J50" s="321">
        <f t="shared" si="2"/>
        <v>0</v>
      </c>
      <c r="K50" s="321">
        <f t="shared" si="2"/>
        <v>0</v>
      </c>
      <c r="L50" s="321">
        <f t="shared" si="2"/>
        <v>0</v>
      </c>
      <c r="M50" s="321">
        <f t="shared" si="2"/>
        <v>2.7258363375542934E-4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4.7993806511956449E-3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2.7258363375542934E-4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1333.1612919987904</v>
      </c>
      <c r="H54" s="21">
        <f t="shared" si="3"/>
        <v>0</v>
      </c>
      <c r="I54" s="21">
        <f t="shared" si="3"/>
        <v>0</v>
      </c>
      <c r="J54" s="21">
        <f t="shared" si="3"/>
        <v>0</v>
      </c>
      <c r="K54" s="21">
        <f t="shared" si="3"/>
        <v>0</v>
      </c>
      <c r="L54" s="21">
        <f t="shared" si="3"/>
        <v>0</v>
      </c>
      <c r="M54" s="21">
        <f t="shared" si="3"/>
        <v>75.717676043174819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4.7135569473079508E-2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355.95406496367707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23768.478942638369</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5204.3959063905368</v>
      </c>
      <c r="C6" s="1204"/>
      <c r="D6" s="1189"/>
      <c r="E6" s="1189"/>
      <c r="F6" s="1207"/>
      <c r="G6" s="1210"/>
      <c r="H6" s="1201"/>
      <c r="I6" s="1189"/>
      <c r="J6" s="1189"/>
      <c r="K6" s="1189"/>
      <c r="L6" s="1193"/>
      <c r="M6" s="575"/>
      <c r="N6" s="1167"/>
      <c r="O6" s="1168"/>
      <c r="Q6" s="573"/>
      <c r="R6" s="1155"/>
      <c r="S6" s="1155"/>
    </row>
    <row r="7" spans="1:19" s="563" customFormat="1">
      <c r="A7" s="576" t="s">
        <v>252</v>
      </c>
      <c r="B7" s="577">
        <f>N57</f>
        <v>898.65</v>
      </c>
      <c r="C7" s="578">
        <f>B100</f>
        <v>0</v>
      </c>
      <c r="D7" s="579"/>
      <c r="E7" s="579">
        <f>E100</f>
        <v>0</v>
      </c>
      <c r="F7" s="580"/>
      <c r="G7" s="581"/>
      <c r="H7" s="579">
        <f>I100</f>
        <v>0</v>
      </c>
      <c r="I7" s="579">
        <f>G100+F100</f>
        <v>0</v>
      </c>
      <c r="J7" s="579">
        <f>H100+D100+C100</f>
        <v>1057.2352941176471</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405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30276.524849028909</v>
      </c>
      <c r="C9" s="594">
        <f t="shared" ref="C9:L9" si="0">SUM(C7:C8)</f>
        <v>0</v>
      </c>
      <c r="D9" s="594">
        <f t="shared" si="0"/>
        <v>0</v>
      </c>
      <c r="E9" s="594">
        <f t="shared" si="0"/>
        <v>0</v>
      </c>
      <c r="F9" s="594">
        <f t="shared" si="0"/>
        <v>0</v>
      </c>
      <c r="G9" s="594">
        <f t="shared" si="0"/>
        <v>0</v>
      </c>
      <c r="H9" s="594">
        <f t="shared" si="0"/>
        <v>0</v>
      </c>
      <c r="I9" s="594">
        <f t="shared" si="0"/>
        <v>1012.5</v>
      </c>
      <c r="J9" s="594">
        <f t="shared" si="0"/>
        <v>1057.2352941176471</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1283.7857142857144</v>
      </c>
      <c r="C16" s="610">
        <f>B101</f>
        <v>0</v>
      </c>
      <c r="D16" s="611"/>
      <c r="E16" s="611">
        <f>E101</f>
        <v>0</v>
      </c>
      <c r="F16" s="612"/>
      <c r="G16" s="613"/>
      <c r="H16" s="610">
        <f>I101</f>
        <v>0</v>
      </c>
      <c r="I16" s="611">
        <f>G101+F101</f>
        <v>0</v>
      </c>
      <c r="J16" s="611">
        <f>H101+D101+C101</f>
        <v>1510.3361344537818</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1283.7857142857144</v>
      </c>
      <c r="C19" s="593">
        <f>SUM(C16:C18)</f>
        <v>0</v>
      </c>
      <c r="D19" s="593">
        <f t="shared" ref="D19:M19" si="1">SUM(D16:D18)</f>
        <v>0</v>
      </c>
      <c r="E19" s="593">
        <f t="shared" si="1"/>
        <v>0</v>
      </c>
      <c r="F19" s="593">
        <f t="shared" si="1"/>
        <v>0</v>
      </c>
      <c r="G19" s="593">
        <f t="shared" si="1"/>
        <v>0</v>
      </c>
      <c r="H19" s="593">
        <f t="shared" si="1"/>
        <v>0</v>
      </c>
      <c r="I19" s="593">
        <f t="shared" si="1"/>
        <v>0</v>
      </c>
      <c r="J19" s="593">
        <f t="shared" si="1"/>
        <v>1510.3361344537818</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35005</v>
      </c>
      <c r="C27" s="851">
        <v>8470</v>
      </c>
      <c r="D27" s="672" t="s">
        <v>809</v>
      </c>
      <c r="E27" s="671" t="s">
        <v>810</v>
      </c>
      <c r="F27" s="671" t="s">
        <v>811</v>
      </c>
      <c r="G27" s="671" t="s">
        <v>812</v>
      </c>
      <c r="H27" s="671" t="s">
        <v>813</v>
      </c>
      <c r="I27" s="671" t="s">
        <v>810</v>
      </c>
      <c r="J27" s="850">
        <v>41117</v>
      </c>
      <c r="K27" s="850">
        <v>41275</v>
      </c>
      <c r="L27" s="671" t="s">
        <v>814</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25.5">
      <c r="A28" s="624"/>
      <c r="B28" s="851">
        <v>35005</v>
      </c>
      <c r="C28" s="851">
        <v>8470</v>
      </c>
      <c r="D28" s="672" t="s">
        <v>815</v>
      </c>
      <c r="E28" s="671" t="s">
        <v>816</v>
      </c>
      <c r="F28" s="671" t="s">
        <v>817</v>
      </c>
      <c r="G28" s="671" t="s">
        <v>812</v>
      </c>
      <c r="H28" s="671" t="s">
        <v>813</v>
      </c>
      <c r="I28" s="671" t="s">
        <v>818</v>
      </c>
      <c r="J28" s="850">
        <v>41400</v>
      </c>
      <c r="K28" s="850">
        <v>41400</v>
      </c>
      <c r="L28" s="671" t="s">
        <v>814</v>
      </c>
      <c r="M28" s="671">
        <v>190</v>
      </c>
      <c r="N28" s="671">
        <v>855</v>
      </c>
      <c r="O28" s="671">
        <v>1221.4285714285716</v>
      </c>
      <c r="P28" s="671">
        <v>0</v>
      </c>
      <c r="Q28" s="671">
        <v>2442.8571428571431</v>
      </c>
      <c r="R28" s="671">
        <v>0</v>
      </c>
      <c r="S28" s="671">
        <v>0</v>
      </c>
      <c r="T28" s="671">
        <v>0</v>
      </c>
      <c r="U28" s="671">
        <v>0</v>
      </c>
      <c r="V28" s="671">
        <v>0</v>
      </c>
      <c r="W28" s="671">
        <v>0</v>
      </c>
      <c r="X28" s="671">
        <v>1600</v>
      </c>
      <c r="Y28" s="671" t="s">
        <v>54</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199.7</v>
      </c>
      <c r="N57" s="629">
        <f>SUM(N27:N56)</f>
        <v>898.65</v>
      </c>
      <c r="O57" s="629">
        <f t="shared" ref="O57:W57" si="2">SUM(O27:O56)</f>
        <v>1283.7857142857144</v>
      </c>
      <c r="P57" s="629">
        <f t="shared" si="2"/>
        <v>0</v>
      </c>
      <c r="Q57" s="629">
        <f t="shared" si="2"/>
        <v>2567.5714285714289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190</v>
      </c>
      <c r="N59" s="629">
        <f ca="1">SUMIF($Z$27:AB56,"tertiair",N27:N56)</f>
        <v>855</v>
      </c>
      <c r="O59" s="629">
        <f ca="1">SUMIF($Z$27:AC56,"tertiair",O27:O56)</f>
        <v>1221.4285714285716</v>
      </c>
      <c r="P59" s="629">
        <f ca="1">SUMIF($Z$27:AD56,"tertiair",P27:P56)</f>
        <v>0</v>
      </c>
      <c r="Q59" s="629">
        <f ca="1">SUMIF($Z$27:AE56,"tertiair",Q27:Q56)</f>
        <v>2442.8571428571431</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38.25">
      <c r="A63" s="626"/>
      <c r="B63" s="851">
        <v>35005</v>
      </c>
      <c r="C63" s="851">
        <v>8470</v>
      </c>
      <c r="D63" s="674" t="s">
        <v>819</v>
      </c>
      <c r="E63" s="674" t="s">
        <v>820</v>
      </c>
      <c r="F63" s="674" t="s">
        <v>821</v>
      </c>
      <c r="G63" s="674" t="s">
        <v>822</v>
      </c>
      <c r="H63" s="674" t="s">
        <v>823</v>
      </c>
      <c r="I63" s="674" t="s">
        <v>820</v>
      </c>
      <c r="J63" s="850">
        <v>38944</v>
      </c>
      <c r="K63" s="850">
        <v>39239</v>
      </c>
      <c r="L63" s="674" t="s">
        <v>814</v>
      </c>
      <c r="M63" s="674">
        <v>90</v>
      </c>
      <c r="N63" s="674">
        <v>405</v>
      </c>
      <c r="O63" s="674">
        <v>0</v>
      </c>
      <c r="P63" s="674">
        <v>0</v>
      </c>
      <c r="Q63" s="674">
        <v>0</v>
      </c>
      <c r="R63" s="674">
        <v>0</v>
      </c>
      <c r="S63" s="674">
        <v>0</v>
      </c>
      <c r="T63" s="674">
        <v>0</v>
      </c>
      <c r="U63" s="674">
        <v>1012.5</v>
      </c>
      <c r="V63" s="674">
        <v>0</v>
      </c>
      <c r="W63" s="674">
        <v>0</v>
      </c>
      <c r="X63" s="674">
        <v>10</v>
      </c>
      <c r="Y63" s="674" t="s">
        <v>112</v>
      </c>
      <c r="Z63" s="675" t="s">
        <v>112</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90</v>
      </c>
      <c r="N88" s="629">
        <f t="shared" ref="N88:W88" si="5">SUM(N63:N87)</f>
        <v>405</v>
      </c>
      <c r="O88" s="629">
        <f t="shared" si="5"/>
        <v>0</v>
      </c>
      <c r="P88" s="629">
        <f t="shared" si="5"/>
        <v>0</v>
      </c>
      <c r="Q88" s="629">
        <f t="shared" si="5"/>
        <v>0</v>
      </c>
      <c r="R88" s="629">
        <f t="shared" si="5"/>
        <v>0</v>
      </c>
      <c r="S88" s="629">
        <f t="shared" si="5"/>
        <v>0</v>
      </c>
      <c r="T88" s="629">
        <f t="shared" si="5"/>
        <v>0</v>
      </c>
      <c r="U88" s="629">
        <f t="shared" si="5"/>
        <v>1012.5</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90</v>
      </c>
      <c r="N91" s="634">
        <f t="shared" si="8"/>
        <v>405</v>
      </c>
      <c r="O91" s="634">
        <f t="shared" si="8"/>
        <v>0</v>
      </c>
      <c r="P91" s="634">
        <f t="shared" si="8"/>
        <v>0</v>
      </c>
      <c r="Q91" s="634">
        <f t="shared" si="8"/>
        <v>0</v>
      </c>
      <c r="R91" s="634">
        <f t="shared" si="8"/>
        <v>0</v>
      </c>
      <c r="S91" s="634">
        <f t="shared" si="8"/>
        <v>0</v>
      </c>
      <c r="T91" s="634">
        <f t="shared" si="8"/>
        <v>0</v>
      </c>
      <c r="U91" s="634">
        <f t="shared" si="8"/>
        <v>1012.5</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1057.2352941176471</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1510.3361344537818</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11784.995199999999</v>
      </c>
      <c r="D10" s="718">
        <f ca="1">tertiair!C16</f>
        <v>1221.4285714285716</v>
      </c>
      <c r="E10" s="718">
        <f ca="1">tertiair!D16</f>
        <v>13510.855050000002</v>
      </c>
      <c r="F10" s="718">
        <f>tertiair!E16</f>
        <v>178.03667062408306</v>
      </c>
      <c r="G10" s="718">
        <f ca="1">tertiair!F16</f>
        <v>1856.2943470424964</v>
      </c>
      <c r="H10" s="718">
        <f>tertiair!G16</f>
        <v>0</v>
      </c>
      <c r="I10" s="718">
        <f>tertiair!H16</f>
        <v>0</v>
      </c>
      <c r="J10" s="718">
        <f>tertiair!I16</f>
        <v>0</v>
      </c>
      <c r="K10" s="718">
        <f>tertiair!J16</f>
        <v>3.8636345058897507E-2</v>
      </c>
      <c r="L10" s="718">
        <f>tertiair!K16</f>
        <v>0</v>
      </c>
      <c r="M10" s="718">
        <f ca="1">tertiair!L16</f>
        <v>0</v>
      </c>
      <c r="N10" s="718">
        <f>tertiair!M16</f>
        <v>0</v>
      </c>
      <c r="O10" s="718">
        <f ca="1">tertiair!N16</f>
        <v>0</v>
      </c>
      <c r="P10" s="718">
        <f>tertiair!O16</f>
        <v>3.1266666666666669</v>
      </c>
      <c r="Q10" s="719">
        <f>tertiair!P16</f>
        <v>19.066666666666666</v>
      </c>
      <c r="R10" s="721">
        <f ca="1">SUM(C10:Q10)</f>
        <v>28573.841808773544</v>
      </c>
      <c r="S10" s="67"/>
    </row>
    <row r="11" spans="1:19" s="474" customFormat="1">
      <c r="A11" s="870" t="s">
        <v>225</v>
      </c>
      <c r="B11" s="875"/>
      <c r="C11" s="718">
        <f>huishoudens!B8</f>
        <v>20575.614423390674</v>
      </c>
      <c r="D11" s="718">
        <f>huishoudens!C8</f>
        <v>0</v>
      </c>
      <c r="E11" s="718">
        <f>huishoudens!D8</f>
        <v>46766.383889500001</v>
      </c>
      <c r="F11" s="718">
        <f>huishoudens!E8</f>
        <v>2465.1373563447919</v>
      </c>
      <c r="G11" s="718">
        <f>huishoudens!F8</f>
        <v>0</v>
      </c>
      <c r="H11" s="718">
        <f>huishoudens!G8</f>
        <v>0</v>
      </c>
      <c r="I11" s="718">
        <f>huishoudens!H8</f>
        <v>0</v>
      </c>
      <c r="J11" s="718">
        <f>huishoudens!I8</f>
        <v>0</v>
      </c>
      <c r="K11" s="718">
        <f>huishoudens!J8</f>
        <v>581.79539496444863</v>
      </c>
      <c r="L11" s="718">
        <f>huishoudens!K8</f>
        <v>0</v>
      </c>
      <c r="M11" s="718">
        <f>huishoudens!L8</f>
        <v>0</v>
      </c>
      <c r="N11" s="718">
        <f>huishoudens!M8</f>
        <v>0</v>
      </c>
      <c r="O11" s="718">
        <f>huishoudens!N8</f>
        <v>14401.807348205553</v>
      </c>
      <c r="P11" s="718">
        <f>huishoudens!O8</f>
        <v>314.23</v>
      </c>
      <c r="Q11" s="719">
        <f>huishoudens!P8</f>
        <v>552.93333333333339</v>
      </c>
      <c r="R11" s="721">
        <f>SUM(C11:Q11)</f>
        <v>85657.901745738782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3894.5712999999996</v>
      </c>
      <c r="D13" s="718">
        <f>industrie!C18</f>
        <v>0</v>
      </c>
      <c r="E13" s="718">
        <f>industrie!D18</f>
        <v>5473.3242289000009</v>
      </c>
      <c r="F13" s="718">
        <f>industrie!E18</f>
        <v>691.6646191158128</v>
      </c>
      <c r="G13" s="718">
        <f>industrie!F18</f>
        <v>2152.3092112883446</v>
      </c>
      <c r="H13" s="718">
        <f>industrie!G18</f>
        <v>0</v>
      </c>
      <c r="I13" s="718">
        <f>industrie!H18</f>
        <v>0</v>
      </c>
      <c r="J13" s="718">
        <f>industrie!I18</f>
        <v>0</v>
      </c>
      <c r="K13" s="718">
        <f>industrie!J18</f>
        <v>1.3059866990338842</v>
      </c>
      <c r="L13" s="718">
        <f>industrie!K18</f>
        <v>0</v>
      </c>
      <c r="M13" s="718">
        <f>industrie!L18</f>
        <v>0</v>
      </c>
      <c r="N13" s="718">
        <f>industrie!M18</f>
        <v>0</v>
      </c>
      <c r="O13" s="718">
        <f>industrie!N18</f>
        <v>1532.2014907850962</v>
      </c>
      <c r="P13" s="718">
        <f>industrie!O18</f>
        <v>0</v>
      </c>
      <c r="Q13" s="719">
        <f>industrie!P18</f>
        <v>0</v>
      </c>
      <c r="R13" s="721">
        <f>SUM(C13:Q13)</f>
        <v>13745.376836788288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36255.180923390668</v>
      </c>
      <c r="D15" s="723">
        <f t="shared" ref="D15:Q15" ca="1" si="0">SUM(D9:D14)</f>
        <v>1221.4285714285716</v>
      </c>
      <c r="E15" s="723">
        <f t="shared" ca="1" si="0"/>
        <v>65750.563168400011</v>
      </c>
      <c r="F15" s="723">
        <f t="shared" si="0"/>
        <v>3334.8386460846878</v>
      </c>
      <c r="G15" s="723">
        <f t="shared" ca="1" si="0"/>
        <v>4008.6035583308412</v>
      </c>
      <c r="H15" s="723">
        <f t="shared" si="0"/>
        <v>0</v>
      </c>
      <c r="I15" s="723">
        <f t="shared" si="0"/>
        <v>0</v>
      </c>
      <c r="J15" s="723">
        <f t="shared" si="0"/>
        <v>0</v>
      </c>
      <c r="K15" s="723">
        <f t="shared" si="0"/>
        <v>583.14001800854135</v>
      </c>
      <c r="L15" s="723">
        <f t="shared" si="0"/>
        <v>0</v>
      </c>
      <c r="M15" s="723">
        <f t="shared" ca="1" si="0"/>
        <v>0</v>
      </c>
      <c r="N15" s="723">
        <f t="shared" si="0"/>
        <v>0</v>
      </c>
      <c r="O15" s="723">
        <f t="shared" ca="1" si="0"/>
        <v>15934.008838990649</v>
      </c>
      <c r="P15" s="723">
        <f t="shared" si="0"/>
        <v>317.35666666666668</v>
      </c>
      <c r="Q15" s="724">
        <f t="shared" si="0"/>
        <v>572.00000000000011</v>
      </c>
      <c r="R15" s="725">
        <f ca="1">SUM(R9:R14)</f>
        <v>127977.12039130062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1333.1612919987904</v>
      </c>
      <c r="I18" s="718">
        <f>transport!H54</f>
        <v>0</v>
      </c>
      <c r="J18" s="718">
        <f>transport!I54</f>
        <v>0</v>
      </c>
      <c r="K18" s="718">
        <f>transport!J54</f>
        <v>0</v>
      </c>
      <c r="L18" s="718">
        <f>transport!K54</f>
        <v>0</v>
      </c>
      <c r="M18" s="718">
        <f>transport!L54</f>
        <v>0</v>
      </c>
      <c r="N18" s="718">
        <f>transport!M54</f>
        <v>75.717676043174819</v>
      </c>
      <c r="O18" s="718">
        <f>transport!N54</f>
        <v>0</v>
      </c>
      <c r="P18" s="718">
        <f>transport!O54</f>
        <v>0</v>
      </c>
      <c r="Q18" s="719">
        <f>transport!P54</f>
        <v>0</v>
      </c>
      <c r="R18" s="721">
        <f>SUM(C18:Q18)</f>
        <v>1408.8789680419652</v>
      </c>
      <c r="S18" s="67"/>
    </row>
    <row r="19" spans="1:19" s="474" customFormat="1" ht="15" thickBot="1">
      <c r="A19" s="870" t="s">
        <v>307</v>
      </c>
      <c r="B19" s="875"/>
      <c r="C19" s="727">
        <f>transport!B14</f>
        <v>63.639430293567898</v>
      </c>
      <c r="D19" s="727">
        <f>transport!C14</f>
        <v>0</v>
      </c>
      <c r="E19" s="727">
        <f>transport!D14</f>
        <v>204.91845011802957</v>
      </c>
      <c r="F19" s="727">
        <f>transport!E14</f>
        <v>321.33270579351239</v>
      </c>
      <c r="G19" s="727">
        <f>transport!F14</f>
        <v>0</v>
      </c>
      <c r="H19" s="727">
        <f>transport!G14</f>
        <v>157067.42915884667</v>
      </c>
      <c r="I19" s="727">
        <f>transport!H14</f>
        <v>23880.415587201343</v>
      </c>
      <c r="J19" s="727">
        <f>transport!I14</f>
        <v>0</v>
      </c>
      <c r="K19" s="727">
        <f>transport!J14</f>
        <v>0</v>
      </c>
      <c r="L19" s="727">
        <f>transport!K14</f>
        <v>0</v>
      </c>
      <c r="M19" s="727">
        <f>transport!L14</f>
        <v>0</v>
      </c>
      <c r="N19" s="727">
        <f>transport!M14</f>
        <v>9885.6155073389436</v>
      </c>
      <c r="O19" s="727">
        <f>transport!N14</f>
        <v>0</v>
      </c>
      <c r="P19" s="727">
        <f>transport!O14</f>
        <v>0</v>
      </c>
      <c r="Q19" s="728">
        <f>transport!P14</f>
        <v>0</v>
      </c>
      <c r="R19" s="729">
        <f>SUM(C19:Q19)</f>
        <v>191423.35083959208</v>
      </c>
      <c r="S19" s="67"/>
    </row>
    <row r="20" spans="1:19" s="474" customFormat="1" ht="15.75" thickBot="1">
      <c r="A20" s="730" t="s">
        <v>230</v>
      </c>
      <c r="B20" s="878"/>
      <c r="C20" s="873">
        <f>SUM(C17:C19)</f>
        <v>63.639430293567898</v>
      </c>
      <c r="D20" s="731">
        <f t="shared" ref="D20:R20" si="1">SUM(D17:D19)</f>
        <v>0</v>
      </c>
      <c r="E20" s="731">
        <f t="shared" si="1"/>
        <v>204.91845011802957</v>
      </c>
      <c r="F20" s="731">
        <f t="shared" si="1"/>
        <v>321.33270579351239</v>
      </c>
      <c r="G20" s="731">
        <f t="shared" si="1"/>
        <v>0</v>
      </c>
      <c r="H20" s="731">
        <f t="shared" si="1"/>
        <v>158400.59045084546</v>
      </c>
      <c r="I20" s="731">
        <f t="shared" si="1"/>
        <v>23880.415587201343</v>
      </c>
      <c r="J20" s="731">
        <f t="shared" si="1"/>
        <v>0</v>
      </c>
      <c r="K20" s="731">
        <f t="shared" si="1"/>
        <v>0</v>
      </c>
      <c r="L20" s="731">
        <f t="shared" si="1"/>
        <v>0</v>
      </c>
      <c r="M20" s="731">
        <f t="shared" si="1"/>
        <v>0</v>
      </c>
      <c r="N20" s="731">
        <f t="shared" si="1"/>
        <v>9961.3331833821176</v>
      </c>
      <c r="O20" s="731">
        <f t="shared" si="1"/>
        <v>0</v>
      </c>
      <c r="P20" s="731">
        <f t="shared" si="1"/>
        <v>0</v>
      </c>
      <c r="Q20" s="732">
        <f t="shared" si="1"/>
        <v>0</v>
      </c>
      <c r="R20" s="733">
        <f t="shared" si="1"/>
        <v>192832.22980763405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2165.8310000000001</v>
      </c>
      <c r="D22" s="727">
        <f>+landbouw!C8</f>
        <v>62.357142857142847</v>
      </c>
      <c r="E22" s="727">
        <f>+landbouw!D8</f>
        <v>1010.0848560000001</v>
      </c>
      <c r="F22" s="727">
        <f>+landbouw!E8</f>
        <v>63.660388301411615</v>
      </c>
      <c r="G22" s="727">
        <f>+landbouw!F8</f>
        <v>9022.7349106356742</v>
      </c>
      <c r="H22" s="727">
        <f>+landbouw!G8</f>
        <v>0</v>
      </c>
      <c r="I22" s="727">
        <f>+landbouw!H8</f>
        <v>0</v>
      </c>
      <c r="J22" s="727">
        <f>+landbouw!I8</f>
        <v>0</v>
      </c>
      <c r="K22" s="727">
        <f>+landbouw!J8</f>
        <v>313.7824001468602</v>
      </c>
      <c r="L22" s="727">
        <f>+landbouw!K8</f>
        <v>0</v>
      </c>
      <c r="M22" s="727">
        <f>+landbouw!L8</f>
        <v>0</v>
      </c>
      <c r="N22" s="727">
        <f>+landbouw!M8</f>
        <v>0</v>
      </c>
      <c r="O22" s="727">
        <f>+landbouw!N8</f>
        <v>0</v>
      </c>
      <c r="P22" s="727">
        <f>+landbouw!O8</f>
        <v>0</v>
      </c>
      <c r="Q22" s="728">
        <f>+landbouw!P8</f>
        <v>0</v>
      </c>
      <c r="R22" s="729">
        <f>SUM(C22:Q22)</f>
        <v>12638.450697941089</v>
      </c>
      <c r="S22" s="67"/>
    </row>
    <row r="23" spans="1:19" s="474" customFormat="1" ht="17.25" thickTop="1" thickBot="1">
      <c r="A23" s="734" t="s">
        <v>116</v>
      </c>
      <c r="B23" s="864"/>
      <c r="C23" s="735">
        <f ca="1">C20+C15+C22</f>
        <v>38484.651353684232</v>
      </c>
      <c r="D23" s="735">
        <f t="shared" ref="D23:Q23" ca="1" si="2">D20+D15+D22</f>
        <v>1283.7857142857144</v>
      </c>
      <c r="E23" s="735">
        <f t="shared" ca="1" si="2"/>
        <v>66965.56647451804</v>
      </c>
      <c r="F23" s="735">
        <f t="shared" si="2"/>
        <v>3719.8317401796121</v>
      </c>
      <c r="G23" s="735">
        <f t="shared" ca="1" si="2"/>
        <v>13031.338468966514</v>
      </c>
      <c r="H23" s="735">
        <f t="shared" si="2"/>
        <v>158400.59045084546</v>
      </c>
      <c r="I23" s="735">
        <f t="shared" si="2"/>
        <v>23880.415587201343</v>
      </c>
      <c r="J23" s="735">
        <f t="shared" si="2"/>
        <v>0</v>
      </c>
      <c r="K23" s="735">
        <f t="shared" si="2"/>
        <v>896.9224181554016</v>
      </c>
      <c r="L23" s="735">
        <f t="shared" si="2"/>
        <v>0</v>
      </c>
      <c r="M23" s="735">
        <f t="shared" ca="1" si="2"/>
        <v>0</v>
      </c>
      <c r="N23" s="735">
        <f t="shared" si="2"/>
        <v>9961.3331833821176</v>
      </c>
      <c r="O23" s="735">
        <f t="shared" ca="1" si="2"/>
        <v>15934.008838990649</v>
      </c>
      <c r="P23" s="735">
        <f t="shared" si="2"/>
        <v>317.35666666666668</v>
      </c>
      <c r="Q23" s="736">
        <f t="shared" si="2"/>
        <v>572.00000000000011</v>
      </c>
      <c r="R23" s="737">
        <f ca="1">R20+R15+R22</f>
        <v>333447.80089687573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555.49245998950857</v>
      </c>
      <c r="D36" s="718">
        <f ca="1">tertiair!C20</f>
        <v>0</v>
      </c>
      <c r="E36" s="718">
        <f ca="1">tertiair!D20</f>
        <v>2729.1927201000008</v>
      </c>
      <c r="F36" s="718">
        <f>tertiair!E20</f>
        <v>40.414324231666853</v>
      </c>
      <c r="G36" s="718">
        <f ca="1">tertiair!F20</f>
        <v>495.63059066034657</v>
      </c>
      <c r="H36" s="718">
        <f>tertiair!G20</f>
        <v>0</v>
      </c>
      <c r="I36" s="718">
        <f>tertiair!H20</f>
        <v>0</v>
      </c>
      <c r="J36" s="718">
        <f>tertiair!I20</f>
        <v>0</v>
      </c>
      <c r="K36" s="718">
        <f>tertiair!J20</f>
        <v>1.3677266150849717E-2</v>
      </c>
      <c r="L36" s="718">
        <f>tertiair!K20</f>
        <v>0</v>
      </c>
      <c r="M36" s="718">
        <f ca="1">tertiair!L20</f>
        <v>0</v>
      </c>
      <c r="N36" s="718">
        <f>tertiair!M20</f>
        <v>0</v>
      </c>
      <c r="O36" s="718">
        <f ca="1">tertiair!N20</f>
        <v>0</v>
      </c>
      <c r="P36" s="718">
        <f>tertiair!O20</f>
        <v>0</v>
      </c>
      <c r="Q36" s="828">
        <f>tertiair!P20</f>
        <v>0</v>
      </c>
      <c r="R36" s="917">
        <f ca="1">SUM(C36:Q36)</f>
        <v>3820.7437722476734</v>
      </c>
    </row>
    <row r="37" spans="1:18">
      <c r="A37" s="885" t="s">
        <v>225</v>
      </c>
      <c r="B37" s="892"/>
      <c r="C37" s="718">
        <f ca="1">huishoudens!B12</f>
        <v>969.84330310502787</v>
      </c>
      <c r="D37" s="718">
        <f ca="1">huishoudens!C12</f>
        <v>0</v>
      </c>
      <c r="E37" s="718">
        <f>huishoudens!D12</f>
        <v>9446.8095456790015</v>
      </c>
      <c r="F37" s="718">
        <f>huishoudens!E12</f>
        <v>559.58617989026777</v>
      </c>
      <c r="G37" s="718">
        <f>huishoudens!F12</f>
        <v>0</v>
      </c>
      <c r="H37" s="718">
        <f>huishoudens!G12</f>
        <v>0</v>
      </c>
      <c r="I37" s="718">
        <f>huishoudens!H12</f>
        <v>0</v>
      </c>
      <c r="J37" s="718">
        <f>huishoudens!I12</f>
        <v>0</v>
      </c>
      <c r="K37" s="718">
        <f>huishoudens!J12</f>
        <v>205.95556981741481</v>
      </c>
      <c r="L37" s="718">
        <f>huishoudens!K12</f>
        <v>0</v>
      </c>
      <c r="M37" s="718">
        <f>huishoudens!L12</f>
        <v>0</v>
      </c>
      <c r="N37" s="718">
        <f>huishoudens!M12</f>
        <v>0</v>
      </c>
      <c r="O37" s="718">
        <f>huishoudens!N12</f>
        <v>0</v>
      </c>
      <c r="P37" s="718">
        <f>huishoudens!O12</f>
        <v>0</v>
      </c>
      <c r="Q37" s="828">
        <f>huishoudens!P12</f>
        <v>0</v>
      </c>
      <c r="R37" s="917">
        <f ca="1">SUM(C37:Q37)</f>
        <v>11182.194598491713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183.57283607901155</v>
      </c>
      <c r="D39" s="718">
        <f ca="1">industrie!C22</f>
        <v>0</v>
      </c>
      <c r="E39" s="718">
        <f>industrie!D22</f>
        <v>1105.6114942378003</v>
      </c>
      <c r="F39" s="718">
        <f>industrie!E22</f>
        <v>157.00786853928952</v>
      </c>
      <c r="G39" s="718">
        <f>industrie!F22</f>
        <v>574.66655941398801</v>
      </c>
      <c r="H39" s="718">
        <f>industrie!G22</f>
        <v>0</v>
      </c>
      <c r="I39" s="718">
        <f>industrie!H22</f>
        <v>0</v>
      </c>
      <c r="J39" s="718">
        <f>industrie!I22</f>
        <v>0</v>
      </c>
      <c r="K39" s="718">
        <f>industrie!J22</f>
        <v>0.462319291457995</v>
      </c>
      <c r="L39" s="718">
        <f>industrie!K22</f>
        <v>0</v>
      </c>
      <c r="M39" s="718">
        <f>industrie!L22</f>
        <v>0</v>
      </c>
      <c r="N39" s="718">
        <f>industrie!M22</f>
        <v>0</v>
      </c>
      <c r="O39" s="718">
        <f>industrie!N22</f>
        <v>0</v>
      </c>
      <c r="P39" s="718">
        <f>industrie!O22</f>
        <v>0</v>
      </c>
      <c r="Q39" s="828">
        <f>industrie!P22</f>
        <v>0</v>
      </c>
      <c r="R39" s="918">
        <f ca="1">SUM(C39:Q39)</f>
        <v>2021.3210775615473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1708.9085991735481</v>
      </c>
      <c r="D41" s="763">
        <f t="shared" ref="D41:R41" ca="1" si="4">SUM(D35:D40)</f>
        <v>0</v>
      </c>
      <c r="E41" s="763">
        <f t="shared" ca="1" si="4"/>
        <v>13281.613760016804</v>
      </c>
      <c r="F41" s="763">
        <f t="shared" si="4"/>
        <v>757.00837266122426</v>
      </c>
      <c r="G41" s="763">
        <f t="shared" ca="1" si="4"/>
        <v>1070.2971500743347</v>
      </c>
      <c r="H41" s="763">
        <f t="shared" si="4"/>
        <v>0</v>
      </c>
      <c r="I41" s="763">
        <f t="shared" si="4"/>
        <v>0</v>
      </c>
      <c r="J41" s="763">
        <f t="shared" si="4"/>
        <v>0</v>
      </c>
      <c r="K41" s="763">
        <f t="shared" si="4"/>
        <v>206.43156637502364</v>
      </c>
      <c r="L41" s="763">
        <f t="shared" si="4"/>
        <v>0</v>
      </c>
      <c r="M41" s="763">
        <f t="shared" ca="1" si="4"/>
        <v>0</v>
      </c>
      <c r="N41" s="763">
        <f t="shared" si="4"/>
        <v>0</v>
      </c>
      <c r="O41" s="763">
        <f t="shared" ca="1" si="4"/>
        <v>0</v>
      </c>
      <c r="P41" s="763">
        <f t="shared" si="4"/>
        <v>0</v>
      </c>
      <c r="Q41" s="764">
        <f t="shared" si="4"/>
        <v>0</v>
      </c>
      <c r="R41" s="765">
        <f t="shared" ca="1" si="4"/>
        <v>17024.259448300934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355.95406496367707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355.95406496367707</v>
      </c>
    </row>
    <row r="45" spans="1:18" ht="15" thickBot="1">
      <c r="A45" s="888" t="s">
        <v>307</v>
      </c>
      <c r="B45" s="898"/>
      <c r="C45" s="727">
        <f ca="1">transport!B18</f>
        <v>2.9996807878296705</v>
      </c>
      <c r="D45" s="727">
        <f>transport!C18</f>
        <v>0</v>
      </c>
      <c r="E45" s="727">
        <f>transport!D18</f>
        <v>41.393526923841975</v>
      </c>
      <c r="F45" s="727">
        <f>transport!E18</f>
        <v>72.942524215127321</v>
      </c>
      <c r="G45" s="727">
        <f>transport!F18</f>
        <v>0</v>
      </c>
      <c r="H45" s="727">
        <f>transport!G18</f>
        <v>41937.003585412065</v>
      </c>
      <c r="I45" s="727">
        <f>transport!H18</f>
        <v>5946.2234812131346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48000.562798551997</v>
      </c>
    </row>
    <row r="46" spans="1:18" ht="15.75" thickBot="1">
      <c r="A46" s="886" t="s">
        <v>230</v>
      </c>
      <c r="B46" s="899"/>
      <c r="C46" s="763">
        <f t="shared" ref="C46:R46" ca="1" si="5">SUM(C43:C45)</f>
        <v>2.9996807878296705</v>
      </c>
      <c r="D46" s="763">
        <f t="shared" ca="1" si="5"/>
        <v>0</v>
      </c>
      <c r="E46" s="763">
        <f t="shared" si="5"/>
        <v>41.393526923841975</v>
      </c>
      <c r="F46" s="763">
        <f t="shared" si="5"/>
        <v>72.942524215127321</v>
      </c>
      <c r="G46" s="763">
        <f t="shared" si="5"/>
        <v>0</v>
      </c>
      <c r="H46" s="763">
        <f t="shared" si="5"/>
        <v>42292.957650375742</v>
      </c>
      <c r="I46" s="763">
        <f t="shared" si="5"/>
        <v>5946.2234812131346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48356.516863515673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102.08767756744928</v>
      </c>
      <c r="D48" s="718">
        <f ca="1">+landbouw!C12</f>
        <v>0</v>
      </c>
      <c r="E48" s="718">
        <f>+landbouw!D12</f>
        <v>204.03714091200001</v>
      </c>
      <c r="F48" s="718">
        <f>+landbouw!E12</f>
        <v>14.450908144420437</v>
      </c>
      <c r="G48" s="718">
        <f>+landbouw!F12</f>
        <v>2409.0702211397252</v>
      </c>
      <c r="H48" s="718">
        <f>+landbouw!G12</f>
        <v>0</v>
      </c>
      <c r="I48" s="718">
        <f>+landbouw!H12</f>
        <v>0</v>
      </c>
      <c r="J48" s="718">
        <f>+landbouw!I12</f>
        <v>0</v>
      </c>
      <c r="K48" s="718">
        <f>+landbouw!J12</f>
        <v>111.0789696519885</v>
      </c>
      <c r="L48" s="718">
        <f>+landbouw!K12</f>
        <v>0</v>
      </c>
      <c r="M48" s="718">
        <f>+landbouw!L12</f>
        <v>0</v>
      </c>
      <c r="N48" s="718">
        <f>+landbouw!M12</f>
        <v>0</v>
      </c>
      <c r="O48" s="718">
        <f>+landbouw!N12</f>
        <v>0</v>
      </c>
      <c r="P48" s="718">
        <f>+landbouw!O12</f>
        <v>0</v>
      </c>
      <c r="Q48" s="719">
        <f>+landbouw!P12</f>
        <v>0</v>
      </c>
      <c r="R48" s="761">
        <f ca="1">SUM(C48:Q48)</f>
        <v>2840.7249174155836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1813.9959575288269</v>
      </c>
      <c r="D53" s="773">
        <f t="shared" ref="D53:Q53" ca="1" si="6">D41+D46+D48</f>
        <v>0</v>
      </c>
      <c r="E53" s="773">
        <f t="shared" ca="1" si="6"/>
        <v>13527.044427852647</v>
      </c>
      <c r="F53" s="773">
        <f t="shared" si="6"/>
        <v>844.40180502077203</v>
      </c>
      <c r="G53" s="773">
        <f t="shared" ca="1" si="6"/>
        <v>3479.3673712140599</v>
      </c>
      <c r="H53" s="773">
        <f t="shared" si="6"/>
        <v>42292.957650375742</v>
      </c>
      <c r="I53" s="773">
        <f t="shared" si="6"/>
        <v>5946.2234812131346</v>
      </c>
      <c r="J53" s="773">
        <f t="shared" si="6"/>
        <v>0</v>
      </c>
      <c r="K53" s="773">
        <f t="shared" si="6"/>
        <v>317.51053602701211</v>
      </c>
      <c r="L53" s="773">
        <f t="shared" si="6"/>
        <v>0</v>
      </c>
      <c r="M53" s="773">
        <f t="shared" ca="1" si="6"/>
        <v>0</v>
      </c>
      <c r="N53" s="773">
        <f t="shared" si="6"/>
        <v>0</v>
      </c>
      <c r="O53" s="773">
        <f t="shared" ca="1" si="6"/>
        <v>0</v>
      </c>
      <c r="P53" s="773">
        <f>P41+P46+P48</f>
        <v>0</v>
      </c>
      <c r="Q53" s="774">
        <f t="shared" si="6"/>
        <v>0</v>
      </c>
      <c r="R53" s="775">
        <f ca="1">R41+R46+R48</f>
        <v>68221.501229232192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4.7135569473079522E-2</v>
      </c>
      <c r="D55" s="836">
        <f t="shared" ca="1" si="7"/>
        <v>0</v>
      </c>
      <c r="E55" s="836">
        <f t="shared" ca="1" si="7"/>
        <v>0.20200000000000004</v>
      </c>
      <c r="F55" s="836">
        <f t="shared" si="7"/>
        <v>0.22700000000000004</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23768.478942638369</v>
      </c>
      <c r="C64" s="795">
        <f>'lokale energieproductie'!B4</f>
        <v>23768.478942638369</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5204.3959063905368</v>
      </c>
      <c r="C66" s="795">
        <f>'lokale energieproductie'!B6</f>
        <v>5204.3959063905368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898.65</v>
      </c>
      <c r="C67" s="794">
        <f>B67*IFERROR(SUM(J67:L67)/SUM(D67:M67),0)</f>
        <v>898.65</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1057.2352941176471</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405</v>
      </c>
      <c r="C68" s="794">
        <f>B68*IFERROR(SUM(J68:L68)/SUM(D68:M68),0)</f>
        <v>405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1012.5</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30276.524849028909</v>
      </c>
      <c r="C69" s="803">
        <f>SUM(C64:C68)</f>
        <v>30276.524849028909</v>
      </c>
      <c r="D69" s="804">
        <f t="shared" ref="D69:M69" si="8">SUM(D67:D68)</f>
        <v>0</v>
      </c>
      <c r="E69" s="804">
        <f t="shared" si="8"/>
        <v>0</v>
      </c>
      <c r="F69" s="804">
        <f t="shared" si="8"/>
        <v>0</v>
      </c>
      <c r="G69" s="804">
        <f t="shared" si="8"/>
        <v>0</v>
      </c>
      <c r="H69" s="804">
        <f t="shared" si="8"/>
        <v>0</v>
      </c>
      <c r="I69" s="804">
        <f t="shared" si="8"/>
        <v>0</v>
      </c>
      <c r="J69" s="804">
        <f t="shared" si="8"/>
        <v>1012.5</v>
      </c>
      <c r="K69" s="804">
        <f t="shared" si="8"/>
        <v>1057.2352941176471</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1283.7857142857144</v>
      </c>
      <c r="C78" s="817">
        <f>B78*IFERROR(SUM(I78:L78)/SUM(D78:M78),0)</f>
        <v>1283.7857142857144</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1510.3361344537818</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1283.7857142857144</v>
      </c>
      <c r="C81" s="803">
        <f>SUM(C78:C80)</f>
        <v>1283.7857142857144</v>
      </c>
      <c r="D81" s="803">
        <f t="shared" ref="D81:P81" si="9">SUM(D78:D80)</f>
        <v>0</v>
      </c>
      <c r="E81" s="803">
        <f t="shared" si="9"/>
        <v>0</v>
      </c>
      <c r="F81" s="803">
        <f t="shared" si="9"/>
        <v>0</v>
      </c>
      <c r="G81" s="803">
        <f t="shared" si="9"/>
        <v>0</v>
      </c>
      <c r="H81" s="803">
        <f t="shared" si="9"/>
        <v>0</v>
      </c>
      <c r="I81" s="803">
        <f t="shared" si="9"/>
        <v>0</v>
      </c>
      <c r="J81" s="803">
        <f t="shared" si="9"/>
        <v>0</v>
      </c>
      <c r="K81" s="803">
        <f t="shared" si="9"/>
        <v>1510.3361344537818</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20575.614423390674</v>
      </c>
      <c r="C4" s="478">
        <f>huishoudens!C8</f>
        <v>0</v>
      </c>
      <c r="D4" s="478">
        <f>huishoudens!D8</f>
        <v>46766.383889500001</v>
      </c>
      <c r="E4" s="478">
        <f>huishoudens!E8</f>
        <v>2465.1373563447919</v>
      </c>
      <c r="F4" s="478">
        <f>huishoudens!F8</f>
        <v>0</v>
      </c>
      <c r="G4" s="478">
        <f>huishoudens!G8</f>
        <v>0</v>
      </c>
      <c r="H4" s="478">
        <f>huishoudens!H8</f>
        <v>0</v>
      </c>
      <c r="I4" s="478">
        <f>huishoudens!I8</f>
        <v>0</v>
      </c>
      <c r="J4" s="478">
        <f>huishoudens!J8</f>
        <v>581.79539496444863</v>
      </c>
      <c r="K4" s="478">
        <f>huishoudens!K8</f>
        <v>0</v>
      </c>
      <c r="L4" s="478">
        <f>huishoudens!L8</f>
        <v>0</v>
      </c>
      <c r="M4" s="478">
        <f>huishoudens!M8</f>
        <v>0</v>
      </c>
      <c r="N4" s="478">
        <f>huishoudens!N8</f>
        <v>14401.807348205553</v>
      </c>
      <c r="O4" s="478">
        <f>huishoudens!O8</f>
        <v>314.23</v>
      </c>
      <c r="P4" s="479">
        <f>huishoudens!P8</f>
        <v>552.93333333333339</v>
      </c>
      <c r="Q4" s="480">
        <f>SUM(B4:P4)</f>
        <v>85657.901745738782</v>
      </c>
    </row>
    <row r="5" spans="1:17">
      <c r="A5" s="477" t="s">
        <v>156</v>
      </c>
      <c r="B5" s="478">
        <f ca="1">tertiair!B16</f>
        <v>10709.4432</v>
      </c>
      <c r="C5" s="478">
        <f ca="1">tertiair!C16</f>
        <v>1221.4285714285716</v>
      </c>
      <c r="D5" s="478">
        <f ca="1">tertiair!D16</f>
        <v>13510.855050000002</v>
      </c>
      <c r="E5" s="478">
        <f>tertiair!E16</f>
        <v>178.03667062408306</v>
      </c>
      <c r="F5" s="478">
        <f ca="1">tertiair!F16</f>
        <v>1856.2943470424964</v>
      </c>
      <c r="G5" s="478">
        <f>tertiair!G16</f>
        <v>0</v>
      </c>
      <c r="H5" s="478">
        <f>tertiair!H16</f>
        <v>0</v>
      </c>
      <c r="I5" s="478">
        <f>tertiair!I16</f>
        <v>0</v>
      </c>
      <c r="J5" s="478">
        <f>tertiair!J16</f>
        <v>3.8636345058897507E-2</v>
      </c>
      <c r="K5" s="478">
        <f>tertiair!K16</f>
        <v>0</v>
      </c>
      <c r="L5" s="478">
        <f ca="1">tertiair!L16</f>
        <v>0</v>
      </c>
      <c r="M5" s="478">
        <f>tertiair!M16</f>
        <v>0</v>
      </c>
      <c r="N5" s="478">
        <f ca="1">tertiair!N16</f>
        <v>0</v>
      </c>
      <c r="O5" s="478">
        <f>tertiair!O16</f>
        <v>3.1266666666666669</v>
      </c>
      <c r="P5" s="479">
        <f>tertiair!P16</f>
        <v>19.066666666666666</v>
      </c>
      <c r="Q5" s="477">
        <f t="shared" ref="Q5:Q13" ca="1" si="0">SUM(B5:P5)</f>
        <v>27498.289808773545</v>
      </c>
    </row>
    <row r="6" spans="1:17">
      <c r="A6" s="477" t="s">
        <v>194</v>
      </c>
      <c r="B6" s="478">
        <f>'openbare verlichting'!B8</f>
        <v>1075.5519999999999</v>
      </c>
      <c r="C6" s="478"/>
      <c r="D6" s="478"/>
      <c r="E6" s="478"/>
      <c r="F6" s="478"/>
      <c r="G6" s="478"/>
      <c r="H6" s="478"/>
      <c r="I6" s="478"/>
      <c r="J6" s="478"/>
      <c r="K6" s="478"/>
      <c r="L6" s="478"/>
      <c r="M6" s="478"/>
      <c r="N6" s="478"/>
      <c r="O6" s="478"/>
      <c r="P6" s="479"/>
      <c r="Q6" s="477">
        <f t="shared" si="0"/>
        <v>1075.5519999999999</v>
      </c>
    </row>
    <row r="7" spans="1:17">
      <c r="A7" s="477" t="s">
        <v>112</v>
      </c>
      <c r="B7" s="478">
        <f>landbouw!B8</f>
        <v>2165.8310000000001</v>
      </c>
      <c r="C7" s="478">
        <f>landbouw!C8</f>
        <v>62.357142857142847</v>
      </c>
      <c r="D7" s="478">
        <f>landbouw!D8</f>
        <v>1010.0848560000001</v>
      </c>
      <c r="E7" s="478">
        <f>landbouw!E8</f>
        <v>63.660388301411615</v>
      </c>
      <c r="F7" s="478">
        <f>landbouw!F8</f>
        <v>9022.7349106356742</v>
      </c>
      <c r="G7" s="478">
        <f>landbouw!G8</f>
        <v>0</v>
      </c>
      <c r="H7" s="478">
        <f>landbouw!H8</f>
        <v>0</v>
      </c>
      <c r="I7" s="478">
        <f>landbouw!I8</f>
        <v>0</v>
      </c>
      <c r="J7" s="478">
        <f>landbouw!J8</f>
        <v>313.7824001468602</v>
      </c>
      <c r="K7" s="478">
        <f>landbouw!K8</f>
        <v>0</v>
      </c>
      <c r="L7" s="478">
        <f>landbouw!L8</f>
        <v>0</v>
      </c>
      <c r="M7" s="478">
        <f>landbouw!M8</f>
        <v>0</v>
      </c>
      <c r="N7" s="478">
        <f>landbouw!N8</f>
        <v>0</v>
      </c>
      <c r="O7" s="478">
        <f>landbouw!O8</f>
        <v>0</v>
      </c>
      <c r="P7" s="479">
        <f>landbouw!P8</f>
        <v>0</v>
      </c>
      <c r="Q7" s="477">
        <f t="shared" si="0"/>
        <v>12638.450697941089</v>
      </c>
    </row>
    <row r="8" spans="1:17">
      <c r="A8" s="477" t="s">
        <v>635</v>
      </c>
      <c r="B8" s="478">
        <f>industrie!B18</f>
        <v>3894.5712999999996</v>
      </c>
      <c r="C8" s="478">
        <f>industrie!C18</f>
        <v>0</v>
      </c>
      <c r="D8" s="478">
        <f>industrie!D18</f>
        <v>5473.3242289000009</v>
      </c>
      <c r="E8" s="478">
        <f>industrie!E18</f>
        <v>691.6646191158128</v>
      </c>
      <c r="F8" s="478">
        <f>industrie!F18</f>
        <v>2152.3092112883446</v>
      </c>
      <c r="G8" s="478">
        <f>industrie!G18</f>
        <v>0</v>
      </c>
      <c r="H8" s="478">
        <f>industrie!H18</f>
        <v>0</v>
      </c>
      <c r="I8" s="478">
        <f>industrie!I18</f>
        <v>0</v>
      </c>
      <c r="J8" s="478">
        <f>industrie!J18</f>
        <v>1.3059866990338842</v>
      </c>
      <c r="K8" s="478">
        <f>industrie!K18</f>
        <v>0</v>
      </c>
      <c r="L8" s="478">
        <f>industrie!L18</f>
        <v>0</v>
      </c>
      <c r="M8" s="478">
        <f>industrie!M18</f>
        <v>0</v>
      </c>
      <c r="N8" s="478">
        <f>industrie!N18</f>
        <v>1532.2014907850962</v>
      </c>
      <c r="O8" s="478">
        <f>industrie!O18</f>
        <v>0</v>
      </c>
      <c r="P8" s="479">
        <f>industrie!P18</f>
        <v>0</v>
      </c>
      <c r="Q8" s="477">
        <f t="shared" si="0"/>
        <v>13745.376836788288</v>
      </c>
    </row>
    <row r="9" spans="1:17" s="483" customFormat="1">
      <c r="A9" s="481" t="s">
        <v>561</v>
      </c>
      <c r="B9" s="482">
        <f>transport!B14</f>
        <v>63.639430293567898</v>
      </c>
      <c r="C9" s="482">
        <f>transport!C14</f>
        <v>0</v>
      </c>
      <c r="D9" s="482">
        <f>transport!D14</f>
        <v>204.91845011802957</v>
      </c>
      <c r="E9" s="482">
        <f>transport!E14</f>
        <v>321.33270579351239</v>
      </c>
      <c r="F9" s="482">
        <f>transport!F14</f>
        <v>0</v>
      </c>
      <c r="G9" s="482">
        <f>transport!G14</f>
        <v>157067.42915884667</v>
      </c>
      <c r="H9" s="482">
        <f>transport!H14</f>
        <v>23880.415587201343</v>
      </c>
      <c r="I9" s="482">
        <f>transport!I14</f>
        <v>0</v>
      </c>
      <c r="J9" s="482">
        <f>transport!J14</f>
        <v>0</v>
      </c>
      <c r="K9" s="482">
        <f>transport!K14</f>
        <v>0</v>
      </c>
      <c r="L9" s="482">
        <f>transport!L14</f>
        <v>0</v>
      </c>
      <c r="M9" s="482">
        <f>transport!M14</f>
        <v>9885.6155073389436</v>
      </c>
      <c r="N9" s="482">
        <f>transport!N14</f>
        <v>0</v>
      </c>
      <c r="O9" s="482">
        <f>transport!O14</f>
        <v>0</v>
      </c>
      <c r="P9" s="482">
        <f>transport!P14</f>
        <v>0</v>
      </c>
      <c r="Q9" s="481">
        <f>SUM(B9:P9)</f>
        <v>191423.35083959208</v>
      </c>
    </row>
    <row r="10" spans="1:17">
      <c r="A10" s="477" t="s">
        <v>551</v>
      </c>
      <c r="B10" s="478">
        <f>transport!B54</f>
        <v>0</v>
      </c>
      <c r="C10" s="478">
        <f>transport!C54</f>
        <v>0</v>
      </c>
      <c r="D10" s="478">
        <f>transport!D54</f>
        <v>0</v>
      </c>
      <c r="E10" s="478">
        <f>transport!E54</f>
        <v>0</v>
      </c>
      <c r="F10" s="478">
        <f>transport!F54</f>
        <v>0</v>
      </c>
      <c r="G10" s="478">
        <f>transport!G54</f>
        <v>1333.1612919987904</v>
      </c>
      <c r="H10" s="478">
        <f>transport!H54</f>
        <v>0</v>
      </c>
      <c r="I10" s="478">
        <f>transport!I54</f>
        <v>0</v>
      </c>
      <c r="J10" s="478">
        <f>transport!J54</f>
        <v>0</v>
      </c>
      <c r="K10" s="478">
        <f>transport!K54</f>
        <v>0</v>
      </c>
      <c r="L10" s="478">
        <f>transport!L54</f>
        <v>0</v>
      </c>
      <c r="M10" s="478">
        <f>transport!M54</f>
        <v>75.717676043174819</v>
      </c>
      <c r="N10" s="478">
        <f>transport!N54</f>
        <v>0</v>
      </c>
      <c r="O10" s="478">
        <f>transport!O54</f>
        <v>0</v>
      </c>
      <c r="P10" s="479">
        <f>transport!P54</f>
        <v>0</v>
      </c>
      <c r="Q10" s="477">
        <f t="shared" si="0"/>
        <v>1408.8789680419652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38484.651353684239</v>
      </c>
      <c r="C14" s="488">
        <f t="shared" ref="C14:Q14" ca="1" si="1">SUM(C4:C13)</f>
        <v>1283.7857142857144</v>
      </c>
      <c r="D14" s="488">
        <f t="shared" ca="1" si="1"/>
        <v>66965.56647451804</v>
      </c>
      <c r="E14" s="488">
        <f t="shared" si="1"/>
        <v>3719.8317401796121</v>
      </c>
      <c r="F14" s="488">
        <f t="shared" ca="1" si="1"/>
        <v>13031.338468966514</v>
      </c>
      <c r="G14" s="488">
        <f t="shared" si="1"/>
        <v>158400.59045084546</v>
      </c>
      <c r="H14" s="488">
        <f t="shared" si="1"/>
        <v>23880.415587201343</v>
      </c>
      <c r="I14" s="488">
        <f t="shared" si="1"/>
        <v>0</v>
      </c>
      <c r="J14" s="488">
        <f t="shared" si="1"/>
        <v>896.9224181554016</v>
      </c>
      <c r="K14" s="488">
        <f t="shared" si="1"/>
        <v>0</v>
      </c>
      <c r="L14" s="488">
        <f t="shared" ca="1" si="1"/>
        <v>0</v>
      </c>
      <c r="M14" s="488">
        <f t="shared" si="1"/>
        <v>9961.3331833821176</v>
      </c>
      <c r="N14" s="488">
        <f t="shared" ca="1" si="1"/>
        <v>15934.008838990649</v>
      </c>
      <c r="O14" s="488">
        <f t="shared" si="1"/>
        <v>317.35666666666668</v>
      </c>
      <c r="P14" s="489">
        <f t="shared" si="1"/>
        <v>572.00000000000011</v>
      </c>
      <c r="Q14" s="489">
        <f t="shared" ca="1" si="1"/>
        <v>333447.80089687579</v>
      </c>
    </row>
    <row r="16" spans="1:17">
      <c r="A16" s="491" t="s">
        <v>556</v>
      </c>
      <c r="B16" s="841">
        <f ca="1">huishoudens!B10</f>
        <v>4.7135569473079508E-2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969.84330310502787</v>
      </c>
      <c r="C21" s="478">
        <f t="shared" ref="C21:C30" ca="1" si="3">C4*$C$16</f>
        <v>0</v>
      </c>
      <c r="D21" s="478">
        <f t="shared" ref="D21:D30" si="4">D4*$D$16</f>
        <v>9446.8095456790015</v>
      </c>
      <c r="E21" s="478">
        <f t="shared" ref="E21:E30" si="5">E4*$E$16</f>
        <v>559.58617989026777</v>
      </c>
      <c r="F21" s="478">
        <f t="shared" ref="F21:F30" si="6">F4*$F$16</f>
        <v>0</v>
      </c>
      <c r="G21" s="478">
        <f t="shared" ref="G21:G30" si="7">G4*$G$16</f>
        <v>0</v>
      </c>
      <c r="H21" s="478">
        <f t="shared" ref="H21:H30" si="8">H4*$H$16</f>
        <v>0</v>
      </c>
      <c r="I21" s="478">
        <f t="shared" ref="I21:I30" si="9">I4*$I$16</f>
        <v>0</v>
      </c>
      <c r="J21" s="478">
        <f t="shared" ref="J21:J30" si="10">J4*$J$16</f>
        <v>205.95556981741481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11182.194598491713</v>
      </c>
    </row>
    <row r="22" spans="1:17">
      <c r="A22" s="477" t="s">
        <v>156</v>
      </c>
      <c r="B22" s="478">
        <f t="shared" ca="1" si="2"/>
        <v>504.79570397159893</v>
      </c>
      <c r="C22" s="478">
        <f t="shared" ca="1" si="3"/>
        <v>0</v>
      </c>
      <c r="D22" s="478">
        <f t="shared" ca="1" si="4"/>
        <v>2729.1927201000008</v>
      </c>
      <c r="E22" s="478">
        <f t="shared" si="5"/>
        <v>40.414324231666853</v>
      </c>
      <c r="F22" s="478">
        <f t="shared" ca="1" si="6"/>
        <v>495.63059066034657</v>
      </c>
      <c r="G22" s="478">
        <f t="shared" si="7"/>
        <v>0</v>
      </c>
      <c r="H22" s="478">
        <f t="shared" si="8"/>
        <v>0</v>
      </c>
      <c r="I22" s="478">
        <f t="shared" si="9"/>
        <v>0</v>
      </c>
      <c r="J22" s="478">
        <f t="shared" si="10"/>
        <v>1.3677266150849717E-2</v>
      </c>
      <c r="K22" s="478">
        <f t="shared" si="11"/>
        <v>0</v>
      </c>
      <c r="L22" s="478">
        <f t="shared" ca="1" si="12"/>
        <v>0</v>
      </c>
      <c r="M22" s="478">
        <f t="shared" si="13"/>
        <v>0</v>
      </c>
      <c r="N22" s="478">
        <f t="shared" ca="1" si="14"/>
        <v>0</v>
      </c>
      <c r="O22" s="478">
        <f t="shared" si="15"/>
        <v>0</v>
      </c>
      <c r="P22" s="479">
        <f t="shared" si="16"/>
        <v>0</v>
      </c>
      <c r="Q22" s="477">
        <f t="shared" ref="Q22:Q30" ca="1" si="17">SUM(B22:P22)</f>
        <v>3770.0470162297638</v>
      </c>
    </row>
    <row r="23" spans="1:17">
      <c r="A23" s="477" t="s">
        <v>194</v>
      </c>
      <c r="B23" s="478">
        <f t="shared" ca="1" si="2"/>
        <v>50.696756017909607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50.696756017909607</v>
      </c>
    </row>
    <row r="24" spans="1:17">
      <c r="A24" s="477" t="s">
        <v>112</v>
      </c>
      <c r="B24" s="478">
        <f t="shared" ca="1" si="2"/>
        <v>102.08767756744928</v>
      </c>
      <c r="C24" s="478">
        <f t="shared" ca="1" si="3"/>
        <v>0</v>
      </c>
      <c r="D24" s="478">
        <f t="shared" si="4"/>
        <v>204.03714091200001</v>
      </c>
      <c r="E24" s="478">
        <f t="shared" si="5"/>
        <v>14.450908144420437</v>
      </c>
      <c r="F24" s="478">
        <f t="shared" si="6"/>
        <v>2409.0702211397252</v>
      </c>
      <c r="G24" s="478">
        <f t="shared" si="7"/>
        <v>0</v>
      </c>
      <c r="H24" s="478">
        <f t="shared" si="8"/>
        <v>0</v>
      </c>
      <c r="I24" s="478">
        <f t="shared" si="9"/>
        <v>0</v>
      </c>
      <c r="J24" s="478">
        <f t="shared" si="10"/>
        <v>111.0789696519885</v>
      </c>
      <c r="K24" s="478">
        <f t="shared" si="11"/>
        <v>0</v>
      </c>
      <c r="L24" s="478">
        <f t="shared" si="12"/>
        <v>0</v>
      </c>
      <c r="M24" s="478">
        <f t="shared" si="13"/>
        <v>0</v>
      </c>
      <c r="N24" s="478">
        <f t="shared" si="14"/>
        <v>0</v>
      </c>
      <c r="O24" s="478">
        <f t="shared" si="15"/>
        <v>0</v>
      </c>
      <c r="P24" s="479">
        <f t="shared" si="16"/>
        <v>0</v>
      </c>
      <c r="Q24" s="477">
        <f t="shared" ca="1" si="17"/>
        <v>2840.7249174155836</v>
      </c>
    </row>
    <row r="25" spans="1:17">
      <c r="A25" s="477" t="s">
        <v>635</v>
      </c>
      <c r="B25" s="478">
        <f t="shared" ca="1" si="2"/>
        <v>183.57283607901155</v>
      </c>
      <c r="C25" s="478">
        <f t="shared" ca="1" si="3"/>
        <v>0</v>
      </c>
      <c r="D25" s="478">
        <f t="shared" si="4"/>
        <v>1105.6114942378003</v>
      </c>
      <c r="E25" s="478">
        <f t="shared" si="5"/>
        <v>157.00786853928952</v>
      </c>
      <c r="F25" s="478">
        <f t="shared" si="6"/>
        <v>574.66655941398801</v>
      </c>
      <c r="G25" s="478">
        <f t="shared" si="7"/>
        <v>0</v>
      </c>
      <c r="H25" s="478">
        <f t="shared" si="8"/>
        <v>0</v>
      </c>
      <c r="I25" s="478">
        <f t="shared" si="9"/>
        <v>0</v>
      </c>
      <c r="J25" s="478">
        <f t="shared" si="10"/>
        <v>0.462319291457995</v>
      </c>
      <c r="K25" s="478">
        <f t="shared" si="11"/>
        <v>0</v>
      </c>
      <c r="L25" s="478">
        <f t="shared" si="12"/>
        <v>0</v>
      </c>
      <c r="M25" s="478">
        <f t="shared" si="13"/>
        <v>0</v>
      </c>
      <c r="N25" s="478">
        <f t="shared" si="14"/>
        <v>0</v>
      </c>
      <c r="O25" s="478">
        <f t="shared" si="15"/>
        <v>0</v>
      </c>
      <c r="P25" s="479">
        <f t="shared" si="16"/>
        <v>0</v>
      </c>
      <c r="Q25" s="477">
        <f t="shared" ca="1" si="17"/>
        <v>2021.3210775615473</v>
      </c>
    </row>
    <row r="26" spans="1:17" s="483" customFormat="1">
      <c r="A26" s="481" t="s">
        <v>561</v>
      </c>
      <c r="B26" s="835">
        <f t="shared" ca="1" si="2"/>
        <v>2.9996807878296705</v>
      </c>
      <c r="C26" s="482">
        <f t="shared" ca="1" si="3"/>
        <v>0</v>
      </c>
      <c r="D26" s="482">
        <f t="shared" si="4"/>
        <v>41.393526923841975</v>
      </c>
      <c r="E26" s="482">
        <f t="shared" si="5"/>
        <v>72.942524215127321</v>
      </c>
      <c r="F26" s="482">
        <f t="shared" si="6"/>
        <v>0</v>
      </c>
      <c r="G26" s="482">
        <f t="shared" si="7"/>
        <v>41937.003585412065</v>
      </c>
      <c r="H26" s="482">
        <f t="shared" si="8"/>
        <v>5946.2234812131346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48000.562798551997</v>
      </c>
    </row>
    <row r="27" spans="1:17">
      <c r="A27" s="477" t="s">
        <v>551</v>
      </c>
      <c r="B27" s="478">
        <f t="shared" ca="1" si="2"/>
        <v>0</v>
      </c>
      <c r="C27" s="478">
        <f t="shared" ca="1" si="3"/>
        <v>0</v>
      </c>
      <c r="D27" s="478">
        <f t="shared" si="4"/>
        <v>0</v>
      </c>
      <c r="E27" s="478">
        <f t="shared" si="5"/>
        <v>0</v>
      </c>
      <c r="F27" s="478">
        <f t="shared" si="6"/>
        <v>0</v>
      </c>
      <c r="G27" s="478">
        <f t="shared" si="7"/>
        <v>355.95406496367707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355.95406496367707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1813.9959575288267</v>
      </c>
      <c r="C31" s="488">
        <f t="shared" ca="1" si="18"/>
        <v>0</v>
      </c>
      <c r="D31" s="488">
        <f t="shared" ca="1" si="18"/>
        <v>13527.044427852647</v>
      </c>
      <c r="E31" s="488">
        <f t="shared" si="18"/>
        <v>844.40180502077192</v>
      </c>
      <c r="F31" s="488">
        <f t="shared" ca="1" si="18"/>
        <v>3479.3673712140599</v>
      </c>
      <c r="G31" s="488">
        <f t="shared" si="18"/>
        <v>42292.957650375742</v>
      </c>
      <c r="H31" s="488">
        <f t="shared" si="18"/>
        <v>5946.2234812131346</v>
      </c>
      <c r="I31" s="488">
        <f t="shared" si="18"/>
        <v>0</v>
      </c>
      <c r="J31" s="488">
        <f t="shared" si="18"/>
        <v>317.51053602701217</v>
      </c>
      <c r="K31" s="488">
        <f t="shared" si="18"/>
        <v>0</v>
      </c>
      <c r="L31" s="488">
        <f t="shared" ca="1" si="18"/>
        <v>0</v>
      </c>
      <c r="M31" s="488">
        <f t="shared" si="18"/>
        <v>0</v>
      </c>
      <c r="N31" s="488">
        <f t="shared" ca="1" si="18"/>
        <v>0</v>
      </c>
      <c r="O31" s="488">
        <f t="shared" si="18"/>
        <v>0</v>
      </c>
      <c r="P31" s="489">
        <f t="shared" si="18"/>
        <v>0</v>
      </c>
      <c r="Q31" s="489">
        <f t="shared" ca="1" si="18"/>
        <v>68221.501229232192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4.7135569473079508E-2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4.7135569473079508E-2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4.7135569473079508E-2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2018-09-06T12:47:51Z</dcterms:modified>
</cp:coreProperties>
</file>