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56" i="22"/>
  <c r="C58" s="1"/>
  <c r="D44" i="14" s="1"/>
  <c r="D46" s="1"/>
  <c r="C10" i="17"/>
  <c r="C12" s="1"/>
  <c r="D48" i="14" s="1"/>
  <c r="Q5" i="48"/>
  <c r="O13" i="14"/>
  <c r="O15" s="1"/>
  <c r="C10" i="13"/>
  <c r="C16" i="48" s="1"/>
  <c r="C30" s="1"/>
  <c r="F41" i="14"/>
  <c r="F53" s="1"/>
  <c r="C17" i="49"/>
  <c r="C16" i="22"/>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<sst xmlns="http://schemas.openxmlformats.org/spreadsheetml/2006/main" count="1921" uniqueCount="814">
  <si>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</si>
  <si>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</si>
  <si>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</si>
  <si>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</si>
  <si>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</si>
  <si>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</si>
  <si>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</si>
  <si>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</si>
  <si>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</si>
  <si>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</si>
  <si>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</si>
  <si>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</si>
  <si>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</si>
  <si>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</si>
  <si>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</si>
  <si>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</si>
  <si>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</si>
  <si>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</si>
  <si>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</si>
  <si>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</si>
  <si>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</si>
  <si>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</si>
  <si>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</si>
  <si>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</si>
  <si>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</si>
  <si>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</si>
  <si>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</si>
  <si>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</si>
  <si>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</si>
  <si>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</si>
  <si>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</si>
  <si>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</si>
  <si>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</si>
  <si>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</si>
  <si>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</si>
  <si>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</si>
  <si>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</si>
  <si>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</si>
  <si>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</si>
  <si>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</si>
  <si>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</si>
  <si>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</si>
  <si>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</si>
  <si>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</si>
  <si>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</si>
  <si>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</si>
  <si>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</si>
  <si>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</si>
  <si>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</si>
  <si>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</si>
  <si>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</si>
  <si>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</si>
  <si>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</si>
  <si>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</si>
  <si>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</si>
  <si>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</si>
  <si>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</si>
  <si>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</si>
  <si>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</si>
  <si>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</si>
  <si>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</si>
  <si>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</si>
  <si>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</si>
  <si>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</si>
  <si>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</si>
  <si>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</si>
  <si>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</si>
  <si>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</si>
  <si>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</si>
  <si>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</si>
  <si>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</si>
  <si>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</si>
  <si>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</si>
  <si>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</si>
  <si>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</si>
  <si>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</si>
  <si>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</si>
  <si>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</si>
  <si>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</si>
  <si>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</si>
  <si>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</si>
  <si>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</si>
  <si>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</si>
  <si>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</si>
  <si>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</si>
  <si>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</si>
  <si>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</si>
  <si>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</si>
  <si>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</si>
  <si>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</si>
  <si>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</si>
  <si>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</si>
  <si>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</si>
  <si>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</si>
  <si>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</si>
  <si>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</si>
  <si>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</si>
  <si>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</si>
  <si>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</si>
  <si>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</si>
  <si>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</si>
  <si>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</si>
  <si>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</si>
  <si>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</si>
  <si>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</si>
  <si>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</si>
  <si>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</si>
  <si>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</si>
  <si>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</si>
  <si>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</si>
  <si>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</si>
  <si>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</si>
  <si>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</si>
  <si>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</si>
  <si>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</si>
  <si>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</si>
  <si>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</si>
  <si>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</si>
  <si>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</si>
  <si>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</si>
  <si>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</si>
  <si>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</si>
  <si>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</si>
  <si>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</si>
  <si>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</si>
  <si>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</si>
  <si>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</si>
  <si>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</si>
  <si>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</si>
  <si>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</si>
  <si>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</si>
  <si>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</si>
  <si>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</si>
  <si>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</si>
  <si>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</si>
  <si>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</si>
  <si>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</si>
  <si>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</si>
  <si>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</si>
  <si>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</si>
  <si>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</si>
  <si>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</si>
  <si>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</si>
  <si>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</si>
  <si>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</si>
  <si>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</si>
  <si>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</si>
  <si>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</si>
  <si>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</si>
  <si>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</si>
  <si>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</si>
  <si>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</si>
  <si>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</si>
  <si>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</si>
  <si>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</si>
  <si>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</si>
  <si>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</si>
  <si>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</si>
  <si>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</si>
  <si>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</si>
  <si>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</si>
  <si>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</si>
  <si>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</si>
  <si>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</si>
  <si>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</si>
  <si>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</si>
  <si>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</si>
  <si>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</si>
  <si>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</si>
  <si>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</si>
  <si>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</si>
  <si>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</si>
  <si>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</si>
  <si>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</si>
  <si>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</si>
  <si>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</si>
  <si>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</si>
  <si>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</si>
  <si>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</si>
  <si>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</si>
  <si>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</si>
  <si>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</si>
  <si>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</si>
  <si>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</si>
  <si>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</si>
  <si>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</si>
  <si>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</si>
  <si>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</si>
  <si>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</si>
  <si>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</si>
  <si>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</si>
  <si>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</si>
  <si>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</si>
  <si>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</si>
  <si>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</si>
  <si>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</si>
  <si>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</si>
  <si>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</si>
  <si>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</si>
  <si>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</si>
  <si>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</si>
  <si>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</si>
  <si>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</si>
  <si>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</si>
  <si>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</si>
  <si>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</si>
  <si>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</si>
  <si>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</si>
  <si>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</si>
  <si>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</si>
  <si>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</si>
  <si>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</si>
  <si>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</si>
  <si>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</si>
  <si>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</si>
  <si>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</si>
  <si>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</si>
  <si>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</si>
  <si>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</si>
  <si>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</si>
  <si>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</si>
  <si>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</si>
  <si>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</si>
  <si>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</si>
  <si>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</si>
  <si>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</si>
  <si>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</si>
  <si>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</si>
  <si>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</si>
  <si>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</si>
  <si>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</si>
  <si>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</si>
  <si>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</si>
  <si>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</si>
  <si>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</si>
  <si>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</si>
  <si>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</si>
  <si>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</si>
  <si>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</si>
  <si>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</si>
  <si>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</si>
  <si>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</si>
  <si>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</si>
  <si>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</si>
  <si>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</si>
  <si>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</si>
  <si>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</si>
  <si>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</si>
  <si>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</si>
  <si>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</si>
  <si>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</si>
  <si>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</si>
  <si>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</si>
  <si>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</si>
  <si>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</si>
  <si>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</si>
  <si>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</si>
  <si>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</si>
  <si>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</si>
  <si>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</si>
  <si>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</si>
  <si>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</si>
  <si>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</si>
  <si>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</si>
  <si>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</si>
  <si>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</si>
  <si>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</si>
  <si>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</si>
  <si>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</si>
  <si>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</si>
  <si>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</si>
  <si>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</si>
  <si>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</si>
  <si>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</si>
  <si>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</si>
  <si>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</si>
  <si>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</si>
  <si>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</si>
  <si>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</si>
  <si>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</si>
  <si>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</si>
  <si>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</si>
  <si>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</si>
  <si>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</si>
  <si>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</si>
  <si>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</si>
  <si>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</si>
  <si>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</si>
  <si>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</si>
  <si>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</si>
  <si>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</si>
  <si>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</si>
  <si>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</si>
  <si>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</si>
  <si>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</si>
  <si>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</si>
  <si>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</si>
  <si>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</si>
  <si>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</si>
  <si>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</si>
  <si>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</si>
  <si>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</si>
  <si>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</si>
  <si>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</si>
  <si>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</si>
  <si>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</si>
  <si>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</si>
  <si>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</si>
  <si>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</si>
  <si>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</si>
  <si>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</si>
  <si>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</si>
  <si>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</si>
  <si>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</si>
  <si>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</si>
  <si>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</si>
  <si>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</si>
  <si>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</si>
  <si>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</si>
  <si>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</si>
  <si>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</si>
  <si>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</si>
  <si>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</si>
  <si>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</si>
  <si>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</si>
  <si>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</si>
  <si>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</si>
  <si>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</si>
  <si>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</si>
  <si>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</si>
  <si>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</si>
  <si>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</si>
  <si>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</si>
  <si>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</si>
  <si>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</si>
  <si>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</si>
  <si>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</si>
  <si>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</si>
  <si>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</si>
  <si>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</si>
  <si>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</si>
  <si>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</si>
  <si>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</si>
  <si>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</si>
  <si>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</si>
  <si>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</si>
  <si>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</si>
  <si>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</si>
  <si>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</si>
  <si>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</si>
  <si>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</si>
  <si>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</si>
  <si>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</si>
  <si>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</si>
  <si>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</si>
  <si>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</si>
  <si>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</si>
  <si>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</si>
  <si>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</si>
  <si>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</si>
  <si>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</si>
  <si>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</si>
  <si>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</si>
  <si>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</si>
  <si>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</si>
  <si>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</si>
  <si>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</si>
  <si>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</si>
  <si>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</si>
  <si>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</si>
  <si>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</si>
  <si>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</si>
  <si>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</si>
  <si>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</si>
  <si>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</si>
  <si>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</si>
  <si>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</si>
  <si>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</si>
  <si>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</si>
  <si>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</si>
  <si>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</si>
  <si>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</si>
  <si>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</si>
  <si>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</si>
  <si>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</si>
  <si>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</si>
  <si>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</si>
  <si>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</si>
  <si>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</si>
  <si>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</si>
  <si>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</si>
  <si>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</si>
  <si>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</si>
  <si>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</si>
  <si>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</si>
  <si>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</si>
  <si>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</si>
  <si>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</si>
  <si>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</si>
  <si>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</si>
  <si>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</si>
  <si>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</si>
  <si>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</si>
  <si>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</si>
  <si>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</si>
  <si>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</si>
  <si>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</si>
  <si>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</si>
  <si>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</si>
  <si>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</si>
  <si>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</si>
  <si>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</si>
  <si>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</si>
  <si>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</si>
  <si>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</si>
  <si>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</si>
  <si>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</si>
  <si>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</si>
  <si>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</si>
  <si>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</si>
  <si>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</si>
  <si>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</si>
  <si>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</si>
  <si>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</si>
  <si>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</si>
  <si>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</si>
  <si>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</si>
  <si>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</si>
  <si>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</si>
  <si>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</si>
  <si>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</si>
  <si>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</si>
  <si>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</si>
  <si>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</si>
  <si>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</si>
  <si>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</si>
  <si>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</si>
  <si>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</si>
  <si>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</si>
  <si>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</si>
  <si>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</si>
  <si>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</si>
  <si>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</si>
  <si>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</si>
  <si>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</si>
  <si>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</si>
  <si>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</si>
  <si>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</si>
  <si>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</si>
  <si>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</si>
  <si>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</si>
  <si>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</si>
  <si>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</si>
  <si>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</si>
  <si>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</si>
  <si>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</si>
  <si>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</si>
  <si>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</si>
  <si>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</si>
  <si>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</si>
  <si>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</si>
  <si>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</si>
  <si>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</si>
  <si>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</si>
  <si>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</si>
  <si>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</si>
  <si>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</si>
  <si>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</si>
  <si>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</si>
  <si>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</si>
  <si>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</si>
  <si>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</si>
  <si>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</si>
  <si>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</si>
  <si>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</si>
  <si>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</si>
  <si>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</si>
  <si>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</si>
  <si>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</si>
  <si>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</si>
  <si>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</si>
  <si>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</si>
  <si>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</si>
  <si>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</si>
  <si>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</si>
  <si>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</si>
  <si>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</si>
  <si>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</si>
  <si>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</si>
  <si>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</si>
  <si>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</si>
  <si>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</si>
  <si>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</si>
  <si>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</si>
  <si>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</si>
  <si>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</si>
  <si>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</si>
  <si>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</si>
  <si>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</si>
  <si>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</si>
  <si>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</si>
  <si>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</si>
  <si>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</si>
  <si>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</si>
  <si>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</si>
  <si>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</si>
  <si>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</si>
  <si>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</si>
  <si>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</si>
  <si>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</si>
  <si>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</si>
  <si>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</si>
  <si>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</si>
  <si>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</si>
  <si>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</si>
  <si>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</si>
  <si>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</si>
  <si>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</si>
  <si>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</si>
  <si>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</si>
  <si>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</si>
  <si>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</si>
  <si>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</si>
  <si>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</si>
  <si>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</si>
  <si>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</si>
  <si>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</si>
  <si>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</si>
  <si>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</si>
  <si>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</si>
  <si>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</si>
  <si>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</si>
  <si>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</si>
  <si>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</si>
  <si>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</si>
  <si>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</si>
  <si>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</si>
  <si>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</si>
  <si>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</si>
  <si>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</si>
  <si>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</si>
  <si>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</si>
  <si>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</si>
  <si>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</si>
  <si>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</si>
  <si>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</si>
  <si>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</si>
  <si>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</si>
  <si>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</si>
  <si>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</si>
  <si>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</si>
  <si>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</si>
  <si>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</si>
  <si>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</si>
  <si>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</si>
  <si>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</si>
  <si>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</si>
  <si>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</si>
  <si>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</si>
  <si>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</si>
  <si>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</si>
  <si>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</si>
  <si>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</si>
  <si>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</si>
  <si>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</si>
  <si>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</si>
  <si>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</si>
  <si>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</si>
  <si>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</si>
  <si>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</si>
  <si>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</si>
  <si>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</si>
  <si>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</si>
  <si>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</si>
  <si>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</si>
  <si>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</si>
  <si>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</si>
  <si>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</si>
  <si>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</si>
  <si>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</si>
  <si>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</si>
  <si>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</si>
  <si>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</si>
  <si>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</si>
  <si>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</si>
  <si>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</si>
  <si>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</si>
  <si>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</si>
  <si>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</si>
  <si>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</si>
  <si>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</si>
  <si>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</si>
  <si>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</si>
  <si>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</si>
  <si>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</si>
  <si>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</si>
  <si>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</si>
  <si>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</si>
  <si>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</si>
  <si>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</si>
  <si>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</si>
  <si>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</si>
  <si>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</si>
  <si>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</si>
  <si>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</si>
  <si>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</si>
  <si>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</si>
  <si>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</si>
  <si>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</si>
  <si>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</si>
  <si>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</si>
  <si>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</si>
  <si>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</si>
  <si>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</si>
  <si>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</si>
  <si>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</si>
  <si>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</si>
  <si>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</si>
  <si>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</si>
  <si>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</si>
  <si>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</si>
  <si>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</si>
  <si>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</si>
  <si>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</si>
  <si>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</si>
  <si>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</si>
  <si>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</si>
  <si>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</si>
  <si>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</si>
  <si>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</si>
  <si>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</si>
  <si>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</si>
  <si>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</si>
  <si>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</si>
  <si>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</si>
  <si>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</si>
  <si>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</si>
  <si>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</si>
  <si>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</si>
  <si>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</si>
  <si>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</si>
  <si>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</si>
  <si>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</si>
  <si>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</si>
  <si>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</si>
  <si>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</si>
  <si>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</si>
  <si>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</si>
  <si>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</si>
  <si>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</si>
  <si>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</si>
  <si>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</si>
  <si>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</si>
  <si>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</si>
  <si>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</si>
  <si>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</si>
  <si>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</si>
  <si>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</si>
  <si>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</si>
  <si>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</si>
  <si>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</si>
  <si>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</si>
  <si>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</si>
  <si>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</si>
  <si>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</si>
  <si>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</si>
  <si>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</si>
  <si>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</si>
  <si>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</si>
  <si>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</si>
  <si>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</si>
  <si>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</si>
  <si>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</si>
  <si>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</si>
  <si>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</si>
  <si>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</si>
  <si>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</si>
  <si>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</si>
  <si>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</si>
  <si>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</si>
  <si>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</si>
  <si>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</si>
  <si>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</si>
  <si>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</si>
  <si>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</si>
  <si>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</si>
  <si>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</si>
  <si>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</si>
  <si>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</si>
  <si>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</si>
  <si>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</si>
  <si>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</si>
  <si>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</si>
  <si>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</si>
  <si>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</si>
  <si>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</si>
  <si>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</si>
  <si>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</si>
  <si>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</si>
  <si>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</si>
  <si>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</si>
  <si>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</si>
  <si>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</si>
  <si>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</si>
  <si>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</si>
  <si>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</si>
  <si>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</si>
  <si>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</si>
  <si>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</si>
  <si>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</si>
  <si>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</si>
  <si>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</si>
  <si>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</si>
  <si>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</si>
  <si>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</si>
  <si>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</si>
  <si>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</si>
  <si>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</si>
  <si>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</si>
  <si>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</si>
  <si>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</si>
  <si>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</si>
  <si>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</si>
  <si>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</si>
  <si>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</si>
  <si>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</si>
  <si>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</si>
  <si>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</si>
  <si>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</si>
  <si>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</si>
  <si>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</si>
  <si>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</si>
  <si>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</si>
  <si>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</si>
  <si>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</si>
  <si>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</si>
  <si>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</si>
  <si>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</si>
  <si>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</si>
  <si>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</si>
  <si>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</si>
  <si>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</si>
  <si>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</si>
  <si>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</si>
  <si>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</si>
  <si>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</si>
  <si>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</si>
  <si>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</si>
  <si>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</si>
  <si>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</si>
  <si>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</si>
  <si>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</si>
  <si>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</si>
  <si>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</si>
  <si>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</si>
  <si>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</si>
  <si>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</si>
  <si>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</si>
  <si>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</si>
  <si>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</si>
  <si>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</si>
  <si>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</si>
  <si>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</si>
  <si>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</si>
  <si>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</si>
  <si>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</si>
  <si>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</si>
  <si>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</si>
  <si>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</si>
  <si>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</si>
  <si>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</si>
  <si>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</si>
  <si>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</si>
  <si>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</si>
  <si>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</si>
  <si>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</si>
  <si>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</si>
  <si>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</si>
  <si>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</si>
  <si>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</si>
  <si>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</si>
  <si>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</si>
  <si>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</si>
  <si>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</si>
  <si>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</si>
  <si>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</si>
  <si>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</si>
  <si>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</si>
  <si>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</si>
  <si>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</si>
  <si>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</si>
  <si>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</si>
  <si>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</si>
  <si>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</si>
  <si>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</si>
  <si>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</si>
  <si>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</si>
  <si>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</si>
  <si>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</si>
  <si>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</si>
  <si>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</si>
  <si>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34042</t>
  </si>
  <si>
    <t>ZWEVEGEM</t>
  </si>
  <si>
    <t>Eandis (januari 2018); Infrax (juni 2018)</t>
  </si>
  <si>
    <t>MOW (september 2017)</t>
  </si>
  <si>
    <t>referentietaak LNE (2017); Jaarverslag De Lijn (2016)</t>
  </si>
  <si>
    <t>VEA (april 2018)</t>
  </si>
  <si>
    <t>VEA (januari 2017)</t>
  </si>
  <si>
    <t>VEA (juni 2018)</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</si>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</sst>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195728.70466054798</c:v>
                </c:pt>
                <c:pt idx="1">
                  <c:v>51493.694339599002</c:v>
                </c:pt>
                <c:pt idx="2">
                  <c:v>1920.443</c:v>
                </c:pt>
                <c:pt idx="3">
                  <c:v>15762.469399477839</c:v>
                </c:pt>
                <c:pt idx="4">
                  <c:v>174548.13420469643</c:v>
                </c:pt>
                <c:pt idx="5">
                  <c:v>85367.388481955888</c:v>
                </c:pt>
                <c:pt idx="6">
                  <c:v>1167.5913898564797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195728.70466054798</c:v>
                </c:pt>
                <c:pt idx="1">
                  <c:v>51493.694339599002</c:v>
                </c:pt>
                <c:pt idx="2">
                  <c:v>1920.443</c:v>
                </c:pt>
                <c:pt idx="3">
                  <c:v>15762.469399477839</c:v>
                </c:pt>
                <c:pt idx="4">
                  <c:v>174548.13420469643</c:v>
                </c:pt>
                <c:pt idx="5">
                  <c:v>85367.388481955888</c:v>
                </c:pt>
                <c:pt idx="6">
                  <c:v>1167.5913898564797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36887.951260813403</c:v>
                </c:pt>
                <c:pt idx="1">
                  <c:v>9778.7485669833077</c:v>
                </c:pt>
                <c:pt idx="2">
                  <c:v>331.10277945187676</c:v>
                </c:pt>
                <c:pt idx="3">
                  <c:v>3847.3191448952512</c:v>
                </c:pt>
                <c:pt idx="4">
                  <c:v>34168.396519987007</c:v>
                </c:pt>
                <c:pt idx="5">
                  <c:v>21348.858350035458</c:v>
                </c:pt>
                <c:pt idx="6">
                  <c:v>294.99262240645783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36887.951260813403</c:v>
                </c:pt>
                <c:pt idx="1">
                  <c:v>9778.7485669833077</c:v>
                </c:pt>
                <c:pt idx="2">
                  <c:v>331.10277945187676</c:v>
                </c:pt>
                <c:pt idx="3">
                  <c:v>3847.3191448952512</c:v>
                </c:pt>
                <c:pt idx="4">
                  <c:v>34168.396519987007</c:v>
                </c:pt>
                <c:pt idx="5">
                  <c:v>21348.858350035458</c:v>
                </c:pt>
                <c:pt idx="6">
                  <c:v>294.99262240645783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24733.35604913831</v>
      </c>
      <c r="D10" s="718">
        <f ca="1">tertiair!C16</f>
        <v>642.85714285714289</v>
      </c>
      <c r="E10" s="718">
        <f ca="1">tertiair!D16</f>
        <v>23560.331073964768</v>
      </c>
      <c r="F10" s="718">
        <f>tertiair!E16</f>
        <v>287.89284320493903</v>
      </c>
      <c r="G10" s="718">
        <f ca="1">tertiair!F16</f>
        <v>3824.0860053344645</v>
      </c>
      <c r="H10" s="718">
        <f>tertiair!G16</f>
        <v>0</v>
      </c>
      <c r="I10" s="718">
        <f>tertiair!H16</f>
        <v>0</v>
      </c>
      <c r="J10" s="718">
        <f>tertiair!I16</f>
        <v>0</v>
      </c>
      <c r="K10" s="718">
        <f>tertiair!J16</f>
        <v>4.0095916365605208E-2</v>
      </c>
      <c r="L10" s="718">
        <f>tertiair!K16</f>
        <v>0</v>
      </c>
      <c r="M10" s="718">
        <f ca="1">tertiair!L16</f>
        <v>0</v>
      </c>
      <c r="N10" s="718">
        <f>tertiair!M16</f>
        <v>0</v>
      </c>
      <c r="O10" s="718">
        <f ca="1">tertiair!N16</f>
        <v>319.62412918301698</v>
      </c>
      <c r="P10" s="718">
        <f>tertiair!O16</f>
        <v>7.8166666666666664</v>
      </c>
      <c r="Q10" s="719">
        <f>tertiair!P16</f>
        <v>38.133333333333333</v>
      </c>
      <c r="R10" s="721">
        <f ca="1">SUM(C10:Q10)</f>
        <v>53414.137339599001</v>
      </c>
      <c r="S10" s="67"/>
    </row>
    <row r="11" spans="1:19" s="474" customFormat="1">
      <c r="A11" s="870" t="s">
        <v>225</v>
      </c>
      <c r="B11" s="875"/>
      <c r="C11" s="718">
        <f>huishoudens!B8</f>
        <v>43157.634931079236</v>
      </c>
      <c r="D11" s="718">
        <f>huishoudens!C8</f>
        <v>0</v>
      </c>
      <c r="E11" s="718">
        <f>huishoudens!D8</f>
        <v>76242.38654563298</v>
      </c>
      <c r="F11" s="718">
        <f>huishoudens!E8</f>
        <v>4398.0325762893972</v>
      </c>
      <c r="G11" s="718">
        <f>huishoudens!F8</f>
        <v>47727.645252257862</v>
      </c>
      <c r="H11" s="718">
        <f>huishoudens!G8</f>
        <v>0</v>
      </c>
      <c r="I11" s="718">
        <f>huishoudens!H8</f>
        <v>0</v>
      </c>
      <c r="J11" s="718">
        <f>huishoudens!I8</f>
        <v>0</v>
      </c>
      <c r="K11" s="718">
        <f>huishoudens!J8</f>
        <v>860.35197800803235</v>
      </c>
      <c r="L11" s="718">
        <f>huishoudens!K8</f>
        <v>0</v>
      </c>
      <c r="M11" s="718">
        <f>huishoudens!L8</f>
        <v>0</v>
      </c>
      <c r="N11" s="718">
        <f>huishoudens!M8</f>
        <v>0</v>
      </c>
      <c r="O11" s="718">
        <f>huishoudens!N8</f>
        <v>21478.016710613818</v>
      </c>
      <c r="P11" s="718">
        <f>huishoudens!O8</f>
        <v>529.97</v>
      </c>
      <c r="Q11" s="719">
        <f>huishoudens!P8</f>
        <v>1334.6666666666667</v>
      </c>
      <c r="R11" s="721">
        <f>SUM(C11:Q11)</f>
        <v>195728.70466054798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18478.577429887977</v>
      </c>
      <c r="D13" s="718">
        <f>industrie!C18</f>
        <v>0</v>
      </c>
      <c r="E13" s="718">
        <f>industrie!D18</f>
        <v>145949.96090343618</v>
      </c>
      <c r="F13" s="718">
        <f>industrie!E18</f>
        <v>1320.8936044956176</v>
      </c>
      <c r="G13" s="718">
        <f>industrie!F18</f>
        <v>4427.6580886118709</v>
      </c>
      <c r="H13" s="718">
        <f>industrie!G18</f>
        <v>0</v>
      </c>
      <c r="I13" s="718">
        <f>industrie!H18</f>
        <v>0</v>
      </c>
      <c r="J13" s="718">
        <f>industrie!I18</f>
        <v>0</v>
      </c>
      <c r="K13" s="718">
        <f>industrie!J18</f>
        <v>52.522613070792723</v>
      </c>
      <c r="L13" s="718">
        <f>industrie!K18</f>
        <v>0</v>
      </c>
      <c r="M13" s="718">
        <f>industrie!L18</f>
        <v>0</v>
      </c>
      <c r="N13" s="718">
        <f>industrie!M18</f>
        <v>0</v>
      </c>
      <c r="O13" s="718">
        <f>industrie!N18</f>
        <v>4318.5215651939707</v>
      </c>
      <c r="P13" s="718">
        <f>industrie!O18</f>
        <v>0</v>
      </c>
      <c r="Q13" s="719">
        <f>industrie!P18</f>
        <v>0</v>
      </c>
      <c r="R13" s="721">
        <f>SUM(C13:Q13)</f>
        <v>174548.13420469643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86369.568410105538</v>
      </c>
      <c r="D15" s="723">
        <f t="shared" ref="D15:Q15" ca="1" si="0">SUM(D9:D14)</f>
        <v>642.85714285714289</v>
      </c>
      <c r="E15" s="723">
        <f t="shared" ca="1" si="0"/>
        <v>245752.67852303392</v>
      </c>
      <c r="F15" s="723">
        <f t="shared" si="0"/>
        <v>6006.8190239899541</v>
      </c>
      <c r="G15" s="723">
        <f t="shared" ca="1" si="0"/>
        <v>55979.389346204196</v>
      </c>
      <c r="H15" s="723">
        <f t="shared" si="0"/>
        <v>0</v>
      </c>
      <c r="I15" s="723">
        <f t="shared" si="0"/>
        <v>0</v>
      </c>
      <c r="J15" s="723">
        <f t="shared" si="0"/>
        <v>0</v>
      </c>
      <c r="K15" s="723">
        <f t="shared" si="0"/>
        <v>912.91468699519078</v>
      </c>
      <c r="L15" s="723">
        <f t="shared" si="0"/>
        <v>0</v>
      </c>
      <c r="M15" s="723">
        <f t="shared" ca="1" si="0"/>
        <v>0</v>
      </c>
      <c r="N15" s="723">
        <f t="shared" si="0"/>
        <v>0</v>
      </c>
      <c r="O15" s="723">
        <f t="shared" ca="1" si="0"/>
        <v>26116.162404990806</v>
      </c>
      <c r="P15" s="723">
        <f t="shared" si="0"/>
        <v>537.78666666666675</v>
      </c>
      <c r="Q15" s="724">
        <f t="shared" si="0"/>
        <v>1372.8000000000002</v>
      </c>
      <c r="R15" s="725">
        <f ca="1">SUM(R9:R14)</f>
        <v>423690.97620484338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1104.8412824211903</v>
      </c>
      <c r="I18" s="718">
        <f>transport!H54</f>
        <v>0</v>
      </c>
      <c r="J18" s="718">
        <f>transport!I54</f>
        <v>0</v>
      </c>
      <c r="K18" s="718">
        <f>transport!J54</f>
        <v>0</v>
      </c>
      <c r="L18" s="718">
        <f>transport!K54</f>
        <v>0</v>
      </c>
      <c r="M18" s="718">
        <f>transport!L54</f>
        <v>0</v>
      </c>
      <c r="N18" s="718">
        <f>transport!M54</f>
        <v>62.750107435289522</v>
      </c>
      <c r="O18" s="718">
        <f>transport!N54</f>
        <v>0</v>
      </c>
      <c r="P18" s="718">
        <f>transport!O54</f>
        <v>0</v>
      </c>
      <c r="Q18" s="719">
        <f>transport!P54</f>
        <v>0</v>
      </c>
      <c r="R18" s="721">
        <f>SUM(C18:Q18)</f>
        <v>1167.5913898564797</v>
      </c>
      <c r="S18" s="67"/>
    </row>
    <row r="19" spans="1:19" s="474" customFormat="1" ht="15" thickBot="1">
      <c r="A19" s="870" t="s">
        <v>307</v>
      </c>
      <c r="B19" s="875"/>
      <c r="C19" s="727">
        <f>transport!B14</f>
        <v>33.814583291819709</v>
      </c>
      <c r="D19" s="727">
        <f>transport!C14</f>
        <v>0</v>
      </c>
      <c r="E19" s="727">
        <f>transport!D14</f>
        <v>142.91531922742669</v>
      </c>
      <c r="F19" s="727">
        <f>transport!E14</f>
        <v>185.67170931252932</v>
      </c>
      <c r="G19" s="727">
        <f>transport!F14</f>
        <v>0</v>
      </c>
      <c r="H19" s="727">
        <f>transport!G14</f>
        <v>64792.510164068997</v>
      </c>
      <c r="I19" s="727">
        <f>transport!H14</f>
        <v>15953.461066184274</v>
      </c>
      <c r="J19" s="727">
        <f>transport!I14</f>
        <v>0</v>
      </c>
      <c r="K19" s="727">
        <f>transport!J14</f>
        <v>0</v>
      </c>
      <c r="L19" s="727">
        <f>transport!K14</f>
        <v>0</v>
      </c>
      <c r="M19" s="727">
        <f>transport!L14</f>
        <v>0</v>
      </c>
      <c r="N19" s="727">
        <f>transport!M14</f>
        <v>4259.0156398708405</v>
      </c>
      <c r="O19" s="727">
        <f>transport!N14</f>
        <v>0</v>
      </c>
      <c r="P19" s="727">
        <f>transport!O14</f>
        <v>0</v>
      </c>
      <c r="Q19" s="728">
        <f>transport!P14</f>
        <v>0</v>
      </c>
      <c r="R19" s="729">
        <f>SUM(C19:Q19)</f>
        <v>85367.388481955888</v>
      </c>
      <c r="S19" s="67"/>
    </row>
    <row r="20" spans="1:19" s="474" customFormat="1" ht="15.75" thickBot="1">
      <c r="A20" s="730" t="s">
        <v>230</v>
      </c>
      <c r="B20" s="878"/>
      <c r="C20" s="873">
        <f>SUM(C17:C19)</f>
        <v>33.814583291819709</v>
      </c>
      <c r="D20" s="731">
        <f t="shared" ref="D20:R20" si="1">SUM(D17:D19)</f>
        <v>0</v>
      </c>
      <c r="E20" s="731">
        <f t="shared" si="1"/>
        <v>142.91531922742669</v>
      </c>
      <c r="F20" s="731">
        <f t="shared" si="1"/>
        <v>185.67170931252932</v>
      </c>
      <c r="G20" s="731">
        <f t="shared" si="1"/>
        <v>0</v>
      </c>
      <c r="H20" s="731">
        <f t="shared" si="1"/>
        <v>65897.351446490182</v>
      </c>
      <c r="I20" s="731">
        <f t="shared" si="1"/>
        <v>15953.461066184274</v>
      </c>
      <c r="J20" s="731">
        <f t="shared" si="1"/>
        <v>0</v>
      </c>
      <c r="K20" s="731">
        <f t="shared" si="1"/>
        <v>0</v>
      </c>
      <c r="L20" s="731">
        <f t="shared" si="1"/>
        <v>0</v>
      </c>
      <c r="M20" s="731">
        <f t="shared" si="1"/>
        <v>0</v>
      </c>
      <c r="N20" s="731">
        <f t="shared" si="1"/>
        <v>4321.7657473061299</v>
      </c>
      <c r="O20" s="731">
        <f t="shared" si="1"/>
        <v>0</v>
      </c>
      <c r="P20" s="731">
        <f t="shared" si="1"/>
        <v>0</v>
      </c>
      <c r="Q20" s="732">
        <f t="shared" si="1"/>
        <v>0</v>
      </c>
      <c r="R20" s="733">
        <f t="shared" si="1"/>
        <v>86534.979871812364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2512.9540043938919</v>
      </c>
      <c r="D22" s="727">
        <f>+landbouw!C8</f>
        <v>0</v>
      </c>
      <c r="E22" s="727">
        <f>+landbouw!D8</f>
        <v>2342.7483431176761</v>
      </c>
      <c r="F22" s="727">
        <f>+landbouw!E8</f>
        <v>73.863393636577555</v>
      </c>
      <c r="G22" s="727">
        <f>+landbouw!F8</f>
        <v>10468.830589398009</v>
      </c>
      <c r="H22" s="727">
        <f>+landbouw!G8</f>
        <v>0</v>
      </c>
      <c r="I22" s="727">
        <f>+landbouw!H8</f>
        <v>0</v>
      </c>
      <c r="J22" s="727">
        <f>+landbouw!I8</f>
        <v>0</v>
      </c>
      <c r="K22" s="727">
        <f>+landbouw!J8</f>
        <v>364.07306893168442</v>
      </c>
      <c r="L22" s="727">
        <f>+landbouw!K8</f>
        <v>0</v>
      </c>
      <c r="M22" s="727">
        <f>+landbouw!L8</f>
        <v>0</v>
      </c>
      <c r="N22" s="727">
        <f>+landbouw!M8</f>
        <v>0</v>
      </c>
      <c r="O22" s="727">
        <f>+landbouw!N8</f>
        <v>0</v>
      </c>
      <c r="P22" s="727">
        <f>+landbouw!O8</f>
        <v>0</v>
      </c>
      <c r="Q22" s="728">
        <f>+landbouw!P8</f>
        <v>0</v>
      </c>
      <c r="R22" s="729">
        <f>SUM(C22:Q22)</f>
        <v>15762.469399477839</v>
      </c>
      <c r="S22" s="67"/>
    </row>
    <row r="23" spans="1:19" s="474" customFormat="1" ht="17.25" thickTop="1" thickBot="1">
      <c r="A23" s="734" t="s">
        <v>116</v>
      </c>
      <c r="B23" s="864"/>
      <c r="C23" s="735">
        <f ca="1">C20+C15+C22</f>
        <v>88916.336997791252</v>
      </c>
      <c r="D23" s="735">
        <f t="shared" ref="D23:Q23" ca="1" si="2">D20+D15+D22</f>
        <v>642.85714285714289</v>
      </c>
      <c r="E23" s="735">
        <f t="shared" ca="1" si="2"/>
        <v>248238.34218537904</v>
      </c>
      <c r="F23" s="735">
        <f t="shared" si="2"/>
        <v>6266.3541269390607</v>
      </c>
      <c r="G23" s="735">
        <f t="shared" ca="1" si="2"/>
        <v>66448.219935602203</v>
      </c>
      <c r="H23" s="735">
        <f t="shared" si="2"/>
        <v>65897.351446490182</v>
      </c>
      <c r="I23" s="735">
        <f t="shared" si="2"/>
        <v>15953.461066184274</v>
      </c>
      <c r="J23" s="735">
        <f t="shared" si="2"/>
        <v>0</v>
      </c>
      <c r="K23" s="735">
        <f t="shared" si="2"/>
        <v>1276.9877559268753</v>
      </c>
      <c r="L23" s="735">
        <f t="shared" si="2"/>
        <v>0</v>
      </c>
      <c r="M23" s="735">
        <f t="shared" ca="1" si="2"/>
        <v>0</v>
      </c>
      <c r="N23" s="735">
        <f t="shared" si="2"/>
        <v>4321.7657473061299</v>
      </c>
      <c r="O23" s="735">
        <f t="shared" ca="1" si="2"/>
        <v>26116.162404990806</v>
      </c>
      <c r="P23" s="735">
        <f t="shared" si="2"/>
        <v>537.78666666666675</v>
      </c>
      <c r="Q23" s="736">
        <f t="shared" si="2"/>
        <v>1372.8000000000002</v>
      </c>
      <c r="R23" s="737">
        <f ca="1">R20+R15+R22</f>
        <v>525988.42547613359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4264.267636708084</v>
      </c>
      <c r="D36" s="718">
        <f ca="1">tertiair!C20</f>
        <v>0</v>
      </c>
      <c r="E36" s="718">
        <f ca="1">tertiair!D20</f>
        <v>4759.1868769408829</v>
      </c>
      <c r="F36" s="718">
        <f>tertiair!E20</f>
        <v>65.351675407521157</v>
      </c>
      <c r="G36" s="718">
        <f ca="1">tertiair!F20</f>
        <v>1021.0309634243021</v>
      </c>
      <c r="H36" s="718">
        <f>tertiair!G20</f>
        <v>0</v>
      </c>
      <c r="I36" s="718">
        <f>tertiair!H20</f>
        <v>0</v>
      </c>
      <c r="J36" s="718">
        <f>tertiair!I20</f>
        <v>0</v>
      </c>
      <c r="K36" s="718">
        <f>tertiair!J20</f>
        <v>1.4193954393424243E-2</v>
      </c>
      <c r="L36" s="718">
        <f>tertiair!K20</f>
        <v>0</v>
      </c>
      <c r="M36" s="718">
        <f ca="1">tertiair!L20</f>
        <v>0</v>
      </c>
      <c r="N36" s="718">
        <f>tertiair!M20</f>
        <v>0</v>
      </c>
      <c r="O36" s="718">
        <f ca="1">tertiair!N20</f>
        <v>0</v>
      </c>
      <c r="P36" s="718">
        <f>tertiair!O20</f>
        <v>0</v>
      </c>
      <c r="Q36" s="828">
        <f>tertiair!P20</f>
        <v>0</v>
      </c>
      <c r="R36" s="917">
        <f ca="1">SUM(C36:Q36)</f>
        <v>10109.851346435184</v>
      </c>
    </row>
    <row r="37" spans="1:18">
      <c r="A37" s="885" t="s">
        <v>225</v>
      </c>
      <c r="B37" s="892"/>
      <c r="C37" s="718">
        <f ca="1">huishoudens!B12</f>
        <v>7440.7899012101589</v>
      </c>
      <c r="D37" s="718">
        <f ca="1">huishoudens!C12</f>
        <v>0</v>
      </c>
      <c r="E37" s="718">
        <f>huishoudens!D12</f>
        <v>15400.962082217862</v>
      </c>
      <c r="F37" s="718">
        <f>huishoudens!E12</f>
        <v>998.35339481769324</v>
      </c>
      <c r="G37" s="718">
        <f>huishoudens!F12</f>
        <v>12743.281282352849</v>
      </c>
      <c r="H37" s="718">
        <f>huishoudens!G12</f>
        <v>0</v>
      </c>
      <c r="I37" s="718">
        <f>huishoudens!H12</f>
        <v>0</v>
      </c>
      <c r="J37" s="718">
        <f>huishoudens!I12</f>
        <v>0</v>
      </c>
      <c r="K37" s="718">
        <f>huishoudens!J12</f>
        <v>304.56460021484344</v>
      </c>
      <c r="L37" s="718">
        <f>huishoudens!K12</f>
        <v>0</v>
      </c>
      <c r="M37" s="718">
        <f>huishoudens!L12</f>
        <v>0</v>
      </c>
      <c r="N37" s="718">
        <f>huishoudens!M12</f>
        <v>0</v>
      </c>
      <c r="O37" s="718">
        <f>huishoudens!N12</f>
        <v>0</v>
      </c>
      <c r="P37" s="718">
        <f>huishoudens!O12</f>
        <v>0</v>
      </c>
      <c r="Q37" s="828">
        <f>huishoudens!P12</f>
        <v>0</v>
      </c>
      <c r="R37" s="917">
        <f ca="1">SUM(C37:Q37)</f>
        <v>36887.951260813403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3185.8838545859608</v>
      </c>
      <c r="D39" s="718">
        <f ca="1">industrie!C22</f>
        <v>0</v>
      </c>
      <c r="E39" s="718">
        <f>industrie!D22</f>
        <v>29481.892102494108</v>
      </c>
      <c r="F39" s="718">
        <f>industrie!E22</f>
        <v>299.84284822050523</v>
      </c>
      <c r="G39" s="718">
        <f>industrie!F22</f>
        <v>1182.1847096593697</v>
      </c>
      <c r="H39" s="718">
        <f>industrie!G22</f>
        <v>0</v>
      </c>
      <c r="I39" s="718">
        <f>industrie!H22</f>
        <v>0</v>
      </c>
      <c r="J39" s="718">
        <f>industrie!I22</f>
        <v>0</v>
      </c>
      <c r="K39" s="718">
        <f>industrie!J22</f>
        <v>18.593005027060624</v>
      </c>
      <c r="L39" s="718">
        <f>industrie!K22</f>
        <v>0</v>
      </c>
      <c r="M39" s="718">
        <f>industrie!L22</f>
        <v>0</v>
      </c>
      <c r="N39" s="718">
        <f>industrie!M22</f>
        <v>0</v>
      </c>
      <c r="O39" s="718">
        <f>industrie!N22</f>
        <v>0</v>
      </c>
      <c r="P39" s="718">
        <f>industrie!O22</f>
        <v>0</v>
      </c>
      <c r="Q39" s="828">
        <f>industrie!P22</f>
        <v>0</v>
      </c>
      <c r="R39" s="918">
        <f ca="1">SUM(C39:Q39)</f>
        <v>34168.396519987007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14890.941392504203</v>
      </c>
      <c r="D41" s="763">
        <f t="shared" ref="D41:R41" ca="1" si="4">SUM(D35:D40)</f>
        <v>0</v>
      </c>
      <c r="E41" s="763">
        <f t="shared" ca="1" si="4"/>
        <v>49642.041061652853</v>
      </c>
      <c r="F41" s="763">
        <f t="shared" si="4"/>
        <v>1363.5479184457197</v>
      </c>
      <c r="G41" s="763">
        <f t="shared" ca="1" si="4"/>
        <v>14946.496955436522</v>
      </c>
      <c r="H41" s="763">
        <f t="shared" si="4"/>
        <v>0</v>
      </c>
      <c r="I41" s="763">
        <f t="shared" si="4"/>
        <v>0</v>
      </c>
      <c r="J41" s="763">
        <f t="shared" si="4"/>
        <v>0</v>
      </c>
      <c r="K41" s="763">
        <f t="shared" si="4"/>
        <v>323.17179919629746</v>
      </c>
      <c r="L41" s="763">
        <f t="shared" si="4"/>
        <v>0</v>
      </c>
      <c r="M41" s="763">
        <f t="shared" ca="1" si="4"/>
        <v>0</v>
      </c>
      <c r="N41" s="763">
        <f t="shared" si="4"/>
        <v>0</v>
      </c>
      <c r="O41" s="763">
        <f t="shared" ca="1" si="4"/>
        <v>0</v>
      </c>
      <c r="P41" s="763">
        <f t="shared" si="4"/>
        <v>0</v>
      </c>
      <c r="Q41" s="764">
        <f t="shared" si="4"/>
        <v>0</v>
      </c>
      <c r="R41" s="765">
        <f t="shared" ca="1" si="4"/>
        <v>81166.199127235595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294.99262240645783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294.99262240645783</v>
      </c>
    </row>
    <row r="45" spans="1:18" ht="15" thickBot="1">
      <c r="A45" s="888" t="s">
        <v>307</v>
      </c>
      <c r="B45" s="898"/>
      <c r="C45" s="727">
        <f ca="1">transport!B18</f>
        <v>5.8299582512620773</v>
      </c>
      <c r="D45" s="727">
        <f>transport!C18</f>
        <v>0</v>
      </c>
      <c r="E45" s="727">
        <f>transport!D18</f>
        <v>28.868894483940196</v>
      </c>
      <c r="F45" s="727">
        <f>transport!E18</f>
        <v>42.147478013944159</v>
      </c>
      <c r="G45" s="727">
        <f>transport!F18</f>
        <v>0</v>
      </c>
      <c r="H45" s="727">
        <f>transport!G18</f>
        <v>17299.600213806425</v>
      </c>
      <c r="I45" s="727">
        <f>transport!H18</f>
        <v>3972.4118054798842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21348.858350035458</v>
      </c>
    </row>
    <row r="46" spans="1:18" ht="15.75" thickBot="1">
      <c r="A46" s="886" t="s">
        <v>230</v>
      </c>
      <c r="B46" s="899"/>
      <c r="C46" s="763">
        <f t="shared" ref="C46:R46" ca="1" si="5">SUM(C43:C45)</f>
        <v>5.8299582512620773</v>
      </c>
      <c r="D46" s="763">
        <f t="shared" ca="1" si="5"/>
        <v>0</v>
      </c>
      <c r="E46" s="763">
        <f t="shared" si="5"/>
        <v>28.868894483940196</v>
      </c>
      <c r="F46" s="763">
        <f t="shared" si="5"/>
        <v>42.147478013944159</v>
      </c>
      <c r="G46" s="763">
        <f t="shared" si="5"/>
        <v>0</v>
      </c>
      <c r="H46" s="763">
        <f t="shared" si="5"/>
        <v>17594.592836212883</v>
      </c>
      <c r="I46" s="763">
        <f t="shared" si="5"/>
        <v>3972.4118054798842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21643.850972441916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433.25735545889222</v>
      </c>
      <c r="D48" s="718">
        <f ca="1">+landbouw!C12</f>
        <v>0</v>
      </c>
      <c r="E48" s="718">
        <f>+landbouw!D12</f>
        <v>473.23516530977059</v>
      </c>
      <c r="F48" s="718">
        <f>+landbouw!E12</f>
        <v>16.766990355503104</v>
      </c>
      <c r="G48" s="718">
        <f>+landbouw!F12</f>
        <v>2795.1777673692686</v>
      </c>
      <c r="H48" s="718">
        <f>+landbouw!G12</f>
        <v>0</v>
      </c>
      <c r="I48" s="718">
        <f>+landbouw!H12</f>
        <v>0</v>
      </c>
      <c r="J48" s="718">
        <f>+landbouw!I12</f>
        <v>0</v>
      </c>
      <c r="K48" s="718">
        <f>+landbouw!J12</f>
        <v>128.88186640181627</v>
      </c>
      <c r="L48" s="718">
        <f>+landbouw!K12</f>
        <v>0</v>
      </c>
      <c r="M48" s="718">
        <f>+landbouw!L12</f>
        <v>0</v>
      </c>
      <c r="N48" s="718">
        <f>+landbouw!M12</f>
        <v>0</v>
      </c>
      <c r="O48" s="718">
        <f>+landbouw!N12</f>
        <v>0</v>
      </c>
      <c r="P48" s="718">
        <f>+landbouw!O12</f>
        <v>0</v>
      </c>
      <c r="Q48" s="719">
        <f>+landbouw!P12</f>
        <v>0</v>
      </c>
      <c r="R48" s="761">
        <f ca="1">SUM(C48:Q48)</f>
        <v>3847.3191448952512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15330.028706214358</v>
      </c>
      <c r="D53" s="773">
        <f t="shared" ref="D53:Q53" ca="1" si="6">D41+D46+D48</f>
        <v>0</v>
      </c>
      <c r="E53" s="773">
        <f t="shared" ca="1" si="6"/>
        <v>50144.145121446563</v>
      </c>
      <c r="F53" s="773">
        <f t="shared" si="6"/>
        <v>1422.4623868151671</v>
      </c>
      <c r="G53" s="773">
        <f t="shared" ca="1" si="6"/>
        <v>17741.67472280579</v>
      </c>
      <c r="H53" s="773">
        <f t="shared" si="6"/>
        <v>17594.592836212883</v>
      </c>
      <c r="I53" s="773">
        <f t="shared" si="6"/>
        <v>3972.4118054798842</v>
      </c>
      <c r="J53" s="773">
        <f t="shared" si="6"/>
        <v>0</v>
      </c>
      <c r="K53" s="773">
        <f t="shared" si="6"/>
        <v>452.05366559811375</v>
      </c>
      <c r="L53" s="773">
        <f t="shared" si="6"/>
        <v>0</v>
      </c>
      <c r="M53" s="773">
        <f t="shared" ca="1" si="6"/>
        <v>0</v>
      </c>
      <c r="N53" s="773">
        <f t="shared" si="6"/>
        <v>0</v>
      </c>
      <c r="O53" s="773">
        <f t="shared" ca="1" si="6"/>
        <v>0</v>
      </c>
      <c r="P53" s="773">
        <f>P41+P46+P48</f>
        <v>0</v>
      </c>
      <c r="Q53" s="774">
        <f t="shared" si="6"/>
        <v>0</v>
      </c>
      <c r="R53" s="775">
        <f ca="1">R41+R46+R48</f>
        <v>106657.36924457276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0.17240958437812354</v>
      </c>
      <c r="D55" s="836">
        <f t="shared" ca="1" si="7"/>
        <v>0</v>
      </c>
      <c r="E55" s="836">
        <f t="shared" ca="1" si="7"/>
        <v>0.20199999999999999</v>
      </c>
      <c r="F55" s="836">
        <f t="shared" si="7"/>
        <v>0.22700000000000004</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10592.474311393187</v>
      </c>
      <c r="C64" s="795">
        <f>'lokale energieproductie'!B4</f>
        <v>10592.474311393187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8507.216956921322</v>
      </c>
      <c r="C66" s="795">
        <f>'lokale energieproductie'!B6</f>
        <v>8507.216956921322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450</v>
      </c>
      <c r="C67" s="794">
        <f>B67*IFERROR(SUM(J67:L67)/SUM(D67:M67),0)</f>
        <v>450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529.41176470588232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19549.691268314509</v>
      </c>
      <c r="C69" s="803">
        <f>SUM(C64:C68)</f>
        <v>19549.691268314509</v>
      </c>
      <c r="D69" s="804">
        <f t="shared" ref="D69:M69" si="8">SUM(D67:D68)</f>
        <v>0</v>
      </c>
      <c r="E69" s="804">
        <f t="shared" si="8"/>
        <v>0</v>
      </c>
      <c r="F69" s="804">
        <f t="shared" si="8"/>
        <v>0</v>
      </c>
      <c r="G69" s="804">
        <f t="shared" si="8"/>
        <v>0</v>
      </c>
      <c r="H69" s="804">
        <f t="shared" si="8"/>
        <v>0</v>
      </c>
      <c r="I69" s="804">
        <f t="shared" si="8"/>
        <v>0</v>
      </c>
      <c r="J69" s="804">
        <f t="shared" si="8"/>
        <v>0</v>
      </c>
      <c r="K69" s="804">
        <f t="shared" si="8"/>
        <v>529.41176470588232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642.85714285714289</v>
      </c>
      <c r="C78" s="817">
        <f>B78*IFERROR(SUM(I78:L78)/SUM(D78:M78),0)</f>
        <v>642.85714285714289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756.30252100840346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642.85714285714289</v>
      </c>
      <c r="C81" s="803">
        <f>SUM(C78:C80)</f>
        <v>642.85714285714289</v>
      </c>
      <c r="D81" s="803">
        <f t="shared" ref="D81:P81" si="9">SUM(D78:D80)</f>
        <v>0</v>
      </c>
      <c r="E81" s="803">
        <f t="shared" si="9"/>
        <v>0</v>
      </c>
      <c r="F81" s="803">
        <f t="shared" si="9"/>
        <v>0</v>
      </c>
      <c r="G81" s="803">
        <f t="shared" si="9"/>
        <v>0</v>
      </c>
      <c r="H81" s="803">
        <f t="shared" si="9"/>
        <v>0</v>
      </c>
      <c r="I81" s="803">
        <f t="shared" si="9"/>
        <v>0</v>
      </c>
      <c r="J81" s="803">
        <f t="shared" si="9"/>
        <v>0</v>
      </c>
      <c r="K81" s="803">
        <f t="shared" si="9"/>
        <v>756.30252100840346</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43157.634931079236</v>
      </c>
      <c r="C4" s="478">
        <f>huishoudens!C8</f>
        <v>0</v>
      </c>
      <c r="D4" s="478">
        <f>huishoudens!D8</f>
        <v>76242.38654563298</v>
      </c>
      <c r="E4" s="478">
        <f>huishoudens!E8</f>
        <v>4398.0325762893972</v>
      </c>
      <c r="F4" s="478">
        <f>huishoudens!F8</f>
        <v>47727.645252257862</v>
      </c>
      <c r="G4" s="478">
        <f>huishoudens!G8</f>
        <v>0</v>
      </c>
      <c r="H4" s="478">
        <f>huishoudens!H8</f>
        <v>0</v>
      </c>
      <c r="I4" s="478">
        <f>huishoudens!I8</f>
        <v>0</v>
      </c>
      <c r="J4" s="478">
        <f>huishoudens!J8</f>
        <v>860.35197800803235</v>
      </c>
      <c r="K4" s="478">
        <f>huishoudens!K8</f>
        <v>0</v>
      </c>
      <c r="L4" s="478">
        <f>huishoudens!L8</f>
        <v>0</v>
      </c>
      <c r="M4" s="478">
        <f>huishoudens!M8</f>
        <v>0</v>
      </c>
      <c r="N4" s="478">
        <f>huishoudens!N8</f>
        <v>21478.016710613818</v>
      </c>
      <c r="O4" s="478">
        <f>huishoudens!O8</f>
        <v>529.97</v>
      </c>
      <c r="P4" s="479">
        <f>huishoudens!P8</f>
        <v>1334.6666666666667</v>
      </c>
      <c r="Q4" s="480">
        <f>SUM(B4:P4)</f>
        <v>195728.70466054798</v>
      </c>
    </row>
    <row r="5" spans="1:17">
      <c r="A5" s="477" t="s">
        <v>156</v>
      </c>
      <c r="B5" s="478">
        <f ca="1">tertiair!B16</f>
        <v>22812.913049138311</v>
      </c>
      <c r="C5" s="478">
        <f ca="1">tertiair!C16</f>
        <v>642.85714285714289</v>
      </c>
      <c r="D5" s="478">
        <f ca="1">tertiair!D16</f>
        <v>23560.331073964768</v>
      </c>
      <c r="E5" s="478">
        <f>tertiair!E16</f>
        <v>287.89284320493903</v>
      </c>
      <c r="F5" s="478">
        <f ca="1">tertiair!F16</f>
        <v>3824.0860053344645</v>
      </c>
      <c r="G5" s="478">
        <f>tertiair!G16</f>
        <v>0</v>
      </c>
      <c r="H5" s="478">
        <f>tertiair!H16</f>
        <v>0</v>
      </c>
      <c r="I5" s="478">
        <f>tertiair!I16</f>
        <v>0</v>
      </c>
      <c r="J5" s="478">
        <f>tertiair!J16</f>
        <v>4.0095916365605208E-2</v>
      </c>
      <c r="K5" s="478">
        <f>tertiair!K16</f>
        <v>0</v>
      </c>
      <c r="L5" s="478">
        <f ca="1">tertiair!L16</f>
        <v>0</v>
      </c>
      <c r="M5" s="478">
        <f>tertiair!M16</f>
        <v>0</v>
      </c>
      <c r="N5" s="478">
        <f ca="1">tertiair!N16</f>
        <v>319.62412918301698</v>
      </c>
      <c r="O5" s="478">
        <f>tertiair!O16</f>
        <v>7.8166666666666664</v>
      </c>
      <c r="P5" s="479">
        <f>tertiair!P16</f>
        <v>38.133333333333333</v>
      </c>
      <c r="Q5" s="477">
        <f t="shared" ref="Q5:Q13" ca="1" si="0">SUM(B5:P5)</f>
        <v>51493.694339599002</v>
      </c>
    </row>
    <row r="6" spans="1:17">
      <c r="A6" s="477" t="s">
        <v>194</v>
      </c>
      <c r="B6" s="478">
        <f>'openbare verlichting'!B8</f>
        <v>1920.443</v>
      </c>
      <c r="C6" s="478"/>
      <c r="D6" s="478"/>
      <c r="E6" s="478"/>
      <c r="F6" s="478"/>
      <c r="G6" s="478"/>
      <c r="H6" s="478"/>
      <c r="I6" s="478"/>
      <c r="J6" s="478"/>
      <c r="K6" s="478"/>
      <c r="L6" s="478"/>
      <c r="M6" s="478"/>
      <c r="N6" s="478"/>
      <c r="O6" s="478"/>
      <c r="P6" s="479"/>
      <c r="Q6" s="477">
        <f t="shared" si="0"/>
        <v>1920.443</v>
      </c>
    </row>
    <row r="7" spans="1:17">
      <c r="A7" s="477" t="s">
        <v>112</v>
      </c>
      <c r="B7" s="478">
        <f>landbouw!B8</f>
        <v>2512.9540043938919</v>
      </c>
      <c r="C7" s="478">
        <f>landbouw!C8</f>
        <v>0</v>
      </c>
      <c r="D7" s="478">
        <f>landbouw!D8</f>
        <v>2342.7483431176761</v>
      </c>
      <c r="E7" s="478">
        <f>landbouw!E8</f>
        <v>73.863393636577555</v>
      </c>
      <c r="F7" s="478">
        <f>landbouw!F8</f>
        <v>10468.830589398009</v>
      </c>
      <c r="G7" s="478">
        <f>landbouw!G8</f>
        <v>0</v>
      </c>
      <c r="H7" s="478">
        <f>landbouw!H8</f>
        <v>0</v>
      </c>
      <c r="I7" s="478">
        <f>landbouw!I8</f>
        <v>0</v>
      </c>
      <c r="J7" s="478">
        <f>landbouw!J8</f>
        <v>364.07306893168442</v>
      </c>
      <c r="K7" s="478">
        <f>landbouw!K8</f>
        <v>0</v>
      </c>
      <c r="L7" s="478">
        <f>landbouw!L8</f>
        <v>0</v>
      </c>
      <c r="M7" s="478">
        <f>landbouw!M8</f>
        <v>0</v>
      </c>
      <c r="N7" s="478">
        <f>landbouw!N8</f>
        <v>0</v>
      </c>
      <c r="O7" s="478">
        <f>landbouw!O8</f>
        <v>0</v>
      </c>
      <c r="P7" s="479">
        <f>landbouw!P8</f>
        <v>0</v>
      </c>
      <c r="Q7" s="477">
        <f t="shared" si="0"/>
        <v>15762.469399477839</v>
      </c>
    </row>
    <row r="8" spans="1:17">
      <c r="A8" s="477" t="s">
        <v>635</v>
      </c>
      <c r="B8" s="478">
        <f>industrie!B18</f>
        <v>18478.577429887977</v>
      </c>
      <c r="C8" s="478">
        <f>industrie!C18</f>
        <v>0</v>
      </c>
      <c r="D8" s="478">
        <f>industrie!D18</f>
        <v>145949.96090343618</v>
      </c>
      <c r="E8" s="478">
        <f>industrie!E18</f>
        <v>1320.8936044956176</v>
      </c>
      <c r="F8" s="478">
        <f>industrie!F18</f>
        <v>4427.6580886118709</v>
      </c>
      <c r="G8" s="478">
        <f>industrie!G18</f>
        <v>0</v>
      </c>
      <c r="H8" s="478">
        <f>industrie!H18</f>
        <v>0</v>
      </c>
      <c r="I8" s="478">
        <f>industrie!I18</f>
        <v>0</v>
      </c>
      <c r="J8" s="478">
        <f>industrie!J18</f>
        <v>52.522613070792723</v>
      </c>
      <c r="K8" s="478">
        <f>industrie!K18</f>
        <v>0</v>
      </c>
      <c r="L8" s="478">
        <f>industrie!L18</f>
        <v>0</v>
      </c>
      <c r="M8" s="478">
        <f>industrie!M18</f>
        <v>0</v>
      </c>
      <c r="N8" s="478">
        <f>industrie!N18</f>
        <v>4318.5215651939707</v>
      </c>
      <c r="O8" s="478">
        <f>industrie!O18</f>
        <v>0</v>
      </c>
      <c r="P8" s="479">
        <f>industrie!P18</f>
        <v>0</v>
      </c>
      <c r="Q8" s="477">
        <f t="shared" si="0"/>
        <v>174548.13420469643</v>
      </c>
    </row>
    <row r="9" spans="1:17" s="483" customFormat="1">
      <c r="A9" s="481" t="s">
        <v>561</v>
      </c>
      <c r="B9" s="482">
        <f>transport!B14</f>
        <v>33.814583291819709</v>
      </c>
      <c r="C9" s="482">
        <f>transport!C14</f>
        <v>0</v>
      </c>
      <c r="D9" s="482">
        <f>transport!D14</f>
        <v>142.91531922742669</v>
      </c>
      <c r="E9" s="482">
        <f>transport!E14</f>
        <v>185.67170931252932</v>
      </c>
      <c r="F9" s="482">
        <f>transport!F14</f>
        <v>0</v>
      </c>
      <c r="G9" s="482">
        <f>transport!G14</f>
        <v>64792.510164068997</v>
      </c>
      <c r="H9" s="482">
        <f>transport!H14</f>
        <v>15953.461066184274</v>
      </c>
      <c r="I9" s="482">
        <f>transport!I14</f>
        <v>0</v>
      </c>
      <c r="J9" s="482">
        <f>transport!J14</f>
        <v>0</v>
      </c>
      <c r="K9" s="482">
        <f>transport!K14</f>
        <v>0</v>
      </c>
      <c r="L9" s="482">
        <f>transport!L14</f>
        <v>0</v>
      </c>
      <c r="M9" s="482">
        <f>transport!M14</f>
        <v>4259.0156398708405</v>
      </c>
      <c r="N9" s="482">
        <f>transport!N14</f>
        <v>0</v>
      </c>
      <c r="O9" s="482">
        <f>transport!O14</f>
        <v>0</v>
      </c>
      <c r="P9" s="482">
        <f>transport!P14</f>
        <v>0</v>
      </c>
      <c r="Q9" s="481">
        <f>SUM(B9:P9)</f>
        <v>85367.388481955888</v>
      </c>
    </row>
    <row r="10" spans="1:17">
      <c r="A10" s="477" t="s">
        <v>551</v>
      </c>
      <c r="B10" s="478">
        <f>transport!B54</f>
        <v>0</v>
      </c>
      <c r="C10" s="478">
        <f>transport!C54</f>
        <v>0</v>
      </c>
      <c r="D10" s="478">
        <f>transport!D54</f>
        <v>0</v>
      </c>
      <c r="E10" s="478">
        <f>transport!E54</f>
        <v>0</v>
      </c>
      <c r="F10" s="478">
        <f>transport!F54</f>
        <v>0</v>
      </c>
      <c r="G10" s="478">
        <f>transport!G54</f>
        <v>1104.8412824211903</v>
      </c>
      <c r="H10" s="478">
        <f>transport!H54</f>
        <v>0</v>
      </c>
      <c r="I10" s="478">
        <f>transport!I54</f>
        <v>0</v>
      </c>
      <c r="J10" s="478">
        <f>transport!J54</f>
        <v>0</v>
      </c>
      <c r="K10" s="478">
        <f>transport!K54</f>
        <v>0</v>
      </c>
      <c r="L10" s="478">
        <f>transport!L54</f>
        <v>0</v>
      </c>
      <c r="M10" s="478">
        <f>transport!M54</f>
        <v>62.750107435289522</v>
      </c>
      <c r="N10" s="478">
        <f>transport!N54</f>
        <v>0</v>
      </c>
      <c r="O10" s="478">
        <f>transport!O54</f>
        <v>0</v>
      </c>
      <c r="P10" s="479">
        <f>transport!P54</f>
        <v>0</v>
      </c>
      <c r="Q10" s="477">
        <f t="shared" si="0"/>
        <v>1167.5913898564797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88916.336997791252</v>
      </c>
      <c r="C14" s="488">
        <f t="shared" ref="C14:Q14" ca="1" si="1">SUM(C4:C13)</f>
        <v>642.85714285714289</v>
      </c>
      <c r="D14" s="488">
        <f t="shared" ca="1" si="1"/>
        <v>248238.34218537906</v>
      </c>
      <c r="E14" s="488">
        <f t="shared" si="1"/>
        <v>6266.3541269390598</v>
      </c>
      <c r="F14" s="488">
        <f t="shared" ca="1" si="1"/>
        <v>66448.219935602203</v>
      </c>
      <c r="G14" s="488">
        <f t="shared" si="1"/>
        <v>65897.351446490182</v>
      </c>
      <c r="H14" s="488">
        <f t="shared" si="1"/>
        <v>15953.461066184274</v>
      </c>
      <c r="I14" s="488">
        <f t="shared" si="1"/>
        <v>0</v>
      </c>
      <c r="J14" s="488">
        <f t="shared" si="1"/>
        <v>1276.987755926875</v>
      </c>
      <c r="K14" s="488">
        <f t="shared" si="1"/>
        <v>0</v>
      </c>
      <c r="L14" s="488">
        <f t="shared" ca="1" si="1"/>
        <v>0</v>
      </c>
      <c r="M14" s="488">
        <f t="shared" si="1"/>
        <v>4321.7657473061299</v>
      </c>
      <c r="N14" s="488">
        <f t="shared" ca="1" si="1"/>
        <v>26116.162404990806</v>
      </c>
      <c r="O14" s="488">
        <f t="shared" si="1"/>
        <v>537.78666666666675</v>
      </c>
      <c r="P14" s="489">
        <f t="shared" si="1"/>
        <v>1372.8000000000002</v>
      </c>
      <c r="Q14" s="489">
        <f t="shared" ca="1" si="1"/>
        <v>525988.42547613359</v>
      </c>
    </row>
    <row r="16" spans="1:17">
      <c r="A16" s="491" t="s">
        <v>556</v>
      </c>
      <c r="B16" s="841">
        <f ca="1">huishoudens!B10</f>
        <v>0.17240958437812356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7440.7899012101589</v>
      </c>
      <c r="C21" s="478">
        <f t="shared" ref="C21:C30" ca="1" si="3">C4*$C$16</f>
        <v>0</v>
      </c>
      <c r="D21" s="478">
        <f t="shared" ref="D21:D30" si="4">D4*$D$16</f>
        <v>15400.962082217862</v>
      </c>
      <c r="E21" s="478">
        <f t="shared" ref="E21:E30" si="5">E4*$E$16</f>
        <v>998.35339481769324</v>
      </c>
      <c r="F21" s="478">
        <f t="shared" ref="F21:F30" si="6">F4*$F$16</f>
        <v>12743.281282352849</v>
      </c>
      <c r="G21" s="478">
        <f t="shared" ref="G21:G30" si="7">G4*$G$16</f>
        <v>0</v>
      </c>
      <c r="H21" s="478">
        <f t="shared" ref="H21:H30" si="8">H4*$H$16</f>
        <v>0</v>
      </c>
      <c r="I21" s="478">
        <f t="shared" ref="I21:I30" si="9">I4*$I$16</f>
        <v>0</v>
      </c>
      <c r="J21" s="478">
        <f t="shared" ref="J21:J30" si="10">J4*$J$16</f>
        <v>304.56460021484344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36887.951260813403</v>
      </c>
    </row>
    <row r="22" spans="1:17">
      <c r="A22" s="477" t="s">
        <v>156</v>
      </c>
      <c r="B22" s="478">
        <f t="shared" ca="1" si="2"/>
        <v>3933.1648572562076</v>
      </c>
      <c r="C22" s="478">
        <f t="shared" ca="1" si="3"/>
        <v>0</v>
      </c>
      <c r="D22" s="478">
        <f t="shared" ca="1" si="4"/>
        <v>4759.1868769408829</v>
      </c>
      <c r="E22" s="478">
        <f t="shared" si="5"/>
        <v>65.351675407521157</v>
      </c>
      <c r="F22" s="478">
        <f t="shared" ca="1" si="6"/>
        <v>1021.0309634243021</v>
      </c>
      <c r="G22" s="478">
        <f t="shared" si="7"/>
        <v>0</v>
      </c>
      <c r="H22" s="478">
        <f t="shared" si="8"/>
        <v>0</v>
      </c>
      <c r="I22" s="478">
        <f t="shared" si="9"/>
        <v>0</v>
      </c>
      <c r="J22" s="478">
        <f t="shared" si="10"/>
        <v>1.4193954393424243E-2</v>
      </c>
      <c r="K22" s="478">
        <f t="shared" si="11"/>
        <v>0</v>
      </c>
      <c r="L22" s="478">
        <f t="shared" ca="1" si="12"/>
        <v>0</v>
      </c>
      <c r="M22" s="478">
        <f t="shared" si="13"/>
        <v>0</v>
      </c>
      <c r="N22" s="478">
        <f t="shared" ca="1" si="14"/>
        <v>0</v>
      </c>
      <c r="O22" s="478">
        <f t="shared" si="15"/>
        <v>0</v>
      </c>
      <c r="P22" s="479">
        <f t="shared" si="16"/>
        <v>0</v>
      </c>
      <c r="Q22" s="477">
        <f t="shared" ref="Q22:Q30" ca="1" si="17">SUM(B22:P22)</f>
        <v>9778.7485669833077</v>
      </c>
    </row>
    <row r="23" spans="1:17">
      <c r="A23" s="477" t="s">
        <v>194</v>
      </c>
      <c r="B23" s="478">
        <f t="shared" ca="1" si="2"/>
        <v>331.10277945187676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331.10277945187676</v>
      </c>
    </row>
    <row r="24" spans="1:17">
      <c r="A24" s="477" t="s">
        <v>112</v>
      </c>
      <c r="B24" s="478">
        <f t="shared" ca="1" si="2"/>
        <v>433.25735545889222</v>
      </c>
      <c r="C24" s="478">
        <f t="shared" ca="1" si="3"/>
        <v>0</v>
      </c>
      <c r="D24" s="478">
        <f t="shared" si="4"/>
        <v>473.23516530977059</v>
      </c>
      <c r="E24" s="478">
        <f t="shared" si="5"/>
        <v>16.766990355503104</v>
      </c>
      <c r="F24" s="478">
        <f t="shared" si="6"/>
        <v>2795.1777673692686</v>
      </c>
      <c r="G24" s="478">
        <f t="shared" si="7"/>
        <v>0</v>
      </c>
      <c r="H24" s="478">
        <f t="shared" si="8"/>
        <v>0</v>
      </c>
      <c r="I24" s="478">
        <f t="shared" si="9"/>
        <v>0</v>
      </c>
      <c r="J24" s="478">
        <f t="shared" si="10"/>
        <v>128.88186640181627</v>
      </c>
      <c r="K24" s="478">
        <f t="shared" si="11"/>
        <v>0</v>
      </c>
      <c r="L24" s="478">
        <f t="shared" si="12"/>
        <v>0</v>
      </c>
      <c r="M24" s="478">
        <f t="shared" si="13"/>
        <v>0</v>
      </c>
      <c r="N24" s="478">
        <f t="shared" si="14"/>
        <v>0</v>
      </c>
      <c r="O24" s="478">
        <f t="shared" si="15"/>
        <v>0</v>
      </c>
      <c r="P24" s="479">
        <f t="shared" si="16"/>
        <v>0</v>
      </c>
      <c r="Q24" s="477">
        <f t="shared" ca="1" si="17"/>
        <v>3847.3191448952512</v>
      </c>
    </row>
    <row r="25" spans="1:17">
      <c r="A25" s="477" t="s">
        <v>635</v>
      </c>
      <c r="B25" s="478">
        <f t="shared" ca="1" si="2"/>
        <v>3185.8838545859608</v>
      </c>
      <c r="C25" s="478">
        <f t="shared" ca="1" si="3"/>
        <v>0</v>
      </c>
      <c r="D25" s="478">
        <f t="shared" si="4"/>
        <v>29481.892102494108</v>
      </c>
      <c r="E25" s="478">
        <f t="shared" si="5"/>
        <v>299.84284822050523</v>
      </c>
      <c r="F25" s="478">
        <f t="shared" si="6"/>
        <v>1182.1847096593697</v>
      </c>
      <c r="G25" s="478">
        <f t="shared" si="7"/>
        <v>0</v>
      </c>
      <c r="H25" s="478">
        <f t="shared" si="8"/>
        <v>0</v>
      </c>
      <c r="I25" s="478">
        <f t="shared" si="9"/>
        <v>0</v>
      </c>
      <c r="J25" s="478">
        <f t="shared" si="10"/>
        <v>18.593005027060624</v>
      </c>
      <c r="K25" s="478">
        <f t="shared" si="11"/>
        <v>0</v>
      </c>
      <c r="L25" s="478">
        <f t="shared" si="12"/>
        <v>0</v>
      </c>
      <c r="M25" s="478">
        <f t="shared" si="13"/>
        <v>0</v>
      </c>
      <c r="N25" s="478">
        <f t="shared" si="14"/>
        <v>0</v>
      </c>
      <c r="O25" s="478">
        <f t="shared" si="15"/>
        <v>0</v>
      </c>
      <c r="P25" s="479">
        <f t="shared" si="16"/>
        <v>0</v>
      </c>
      <c r="Q25" s="477">
        <f t="shared" ca="1" si="17"/>
        <v>34168.396519987007</v>
      </c>
    </row>
    <row r="26" spans="1:17" s="483" customFormat="1">
      <c r="A26" s="481" t="s">
        <v>561</v>
      </c>
      <c r="B26" s="835">
        <f t="shared" ca="1" si="2"/>
        <v>5.8299582512620773</v>
      </c>
      <c r="C26" s="482">
        <f t="shared" ca="1" si="3"/>
        <v>0</v>
      </c>
      <c r="D26" s="482">
        <f t="shared" si="4"/>
        <v>28.868894483940196</v>
      </c>
      <c r="E26" s="482">
        <f t="shared" si="5"/>
        <v>42.147478013944159</v>
      </c>
      <c r="F26" s="482">
        <f t="shared" si="6"/>
        <v>0</v>
      </c>
      <c r="G26" s="482">
        <f t="shared" si="7"/>
        <v>17299.600213806425</v>
      </c>
      <c r="H26" s="482">
        <f t="shared" si="8"/>
        <v>3972.4118054798842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21348.858350035458</v>
      </c>
    </row>
    <row r="27" spans="1:17">
      <c r="A27" s="477" t="s">
        <v>551</v>
      </c>
      <c r="B27" s="478">
        <f t="shared" ca="1" si="2"/>
        <v>0</v>
      </c>
      <c r="C27" s="478">
        <f t="shared" ca="1" si="3"/>
        <v>0</v>
      </c>
      <c r="D27" s="478">
        <f t="shared" si="4"/>
        <v>0</v>
      </c>
      <c r="E27" s="478">
        <f t="shared" si="5"/>
        <v>0</v>
      </c>
      <c r="F27" s="478">
        <f t="shared" si="6"/>
        <v>0</v>
      </c>
      <c r="G27" s="478">
        <f t="shared" si="7"/>
        <v>294.99262240645783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294.99262240645783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15330.028706214358</v>
      </c>
      <c r="C31" s="488">
        <f t="shared" ca="1" si="18"/>
        <v>0</v>
      </c>
      <c r="D31" s="488">
        <f t="shared" ca="1" si="18"/>
        <v>50144.145121446563</v>
      </c>
      <c r="E31" s="488">
        <f t="shared" si="18"/>
        <v>1422.4623868151671</v>
      </c>
      <c r="F31" s="488">
        <f t="shared" ca="1" si="18"/>
        <v>17741.67472280579</v>
      </c>
      <c r="G31" s="488">
        <f t="shared" si="18"/>
        <v>17594.592836212883</v>
      </c>
      <c r="H31" s="488">
        <f t="shared" si="18"/>
        <v>3972.4118054798842</v>
      </c>
      <c r="I31" s="488">
        <f t="shared" si="18"/>
        <v>0</v>
      </c>
      <c r="J31" s="488">
        <f t="shared" si="18"/>
        <v>452.05366559811375</v>
      </c>
      <c r="K31" s="488">
        <f t="shared" si="18"/>
        <v>0</v>
      </c>
      <c r="L31" s="488">
        <f t="shared" ca="1" si="18"/>
        <v>0</v>
      </c>
      <c r="M31" s="488">
        <f t="shared" si="18"/>
        <v>0</v>
      </c>
      <c r="N31" s="488">
        <f t="shared" ca="1" si="18"/>
        <v>0</v>
      </c>
      <c r="O31" s="488">
        <f t="shared" si="18"/>
        <v>0</v>
      </c>
      <c r="P31" s="489">
        <f t="shared" si="18"/>
        <v>0</v>
      </c>
      <c r="Q31" s="489">
        <f t="shared" ca="1" si="18"/>
        <v>106657.36924457275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0.17240958437812356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0.17240958437812356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0.17240958437812356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10097</v>
      </c>
      <c r="C9" s="342">
        <v>10379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4264.45</v>
      </c>
    </row>
    <row r="15" spans="1:6">
      <c r="A15" s="348" t="s">
        <v>184</v>
      </c>
      <c r="B15" s="334">
        <v>23</v>
      </c>
    </row>
    <row r="16" spans="1:6">
      <c r="A16" s="348" t="s">
        <v>6</v>
      </c>
      <c r="B16" s="334">
        <v>886</v>
      </c>
    </row>
    <row r="17" spans="1:6">
      <c r="A17" s="348" t="s">
        <v>7</v>
      </c>
      <c r="B17" s="334">
        <v>831</v>
      </c>
    </row>
    <row r="18" spans="1:6">
      <c r="A18" s="348" t="s">
        <v>8</v>
      </c>
      <c r="B18" s="334">
        <v>1113</v>
      </c>
    </row>
    <row r="19" spans="1:6">
      <c r="A19" s="348" t="s">
        <v>9</v>
      </c>
      <c r="B19" s="334">
        <v>988</v>
      </c>
    </row>
    <row r="20" spans="1:6">
      <c r="A20" s="348" t="s">
        <v>10</v>
      </c>
      <c r="B20" s="334">
        <v>1000</v>
      </c>
    </row>
    <row r="21" spans="1:6">
      <c r="A21" s="348" t="s">
        <v>11</v>
      </c>
      <c r="B21" s="334">
        <v>2487</v>
      </c>
    </row>
    <row r="22" spans="1:6">
      <c r="A22" s="348" t="s">
        <v>12</v>
      </c>
      <c r="B22" s="334">
        <v>17628</v>
      </c>
    </row>
    <row r="23" spans="1:6">
      <c r="A23" s="348" t="s">
        <v>13</v>
      </c>
      <c r="B23" s="334">
        <v>114</v>
      </c>
    </row>
    <row r="24" spans="1:6">
      <c r="A24" s="348" t="s">
        <v>14</v>
      </c>
      <c r="B24" s="334">
        <v>16</v>
      </c>
    </row>
    <row r="25" spans="1:6">
      <c r="A25" s="348" t="s">
        <v>15</v>
      </c>
      <c r="B25" s="334">
        <v>856</v>
      </c>
    </row>
    <row r="26" spans="1:6">
      <c r="A26" s="348" t="s">
        <v>16</v>
      </c>
      <c r="B26" s="334">
        <v>218</v>
      </c>
    </row>
    <row r="27" spans="1:6">
      <c r="A27" s="348" t="s">
        <v>17</v>
      </c>
      <c r="B27" s="334">
        <v>8</v>
      </c>
    </row>
    <row r="28" spans="1:6" s="356" customFormat="1">
      <c r="A28" s="355" t="s">
        <v>18</v>
      </c>
      <c r="B28" s="355">
        <v>439559</v>
      </c>
    </row>
    <row r="29" spans="1:6">
      <c r="A29" s="355" t="s">
        <v>744</v>
      </c>
      <c r="B29" s="355">
        <v>119</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2708.6887770677999</v>
      </c>
    </row>
    <row r="39" spans="1:6">
      <c r="A39" s="348" t="s">
        <v>30</v>
      </c>
      <c r="B39" s="348" t="s">
        <v>31</v>
      </c>
      <c r="C39" s="334">
        <v>5660</v>
      </c>
      <c r="D39" s="334">
        <v>84525927.434182897</v>
      </c>
      <c r="E39" s="334">
        <v>9595</v>
      </c>
      <c r="F39" s="334">
        <v>37773004.288634002</v>
      </c>
    </row>
    <row r="40" spans="1:6">
      <c r="A40" s="348" t="s">
        <v>30</v>
      </c>
      <c r="B40" s="348" t="s">
        <v>29</v>
      </c>
      <c r="C40" s="334">
        <v>0</v>
      </c>
      <c r="D40" s="334">
        <v>0</v>
      </c>
      <c r="E40" s="334">
        <v>0</v>
      </c>
      <c r="F40" s="334">
        <v>0</v>
      </c>
    </row>
    <row r="41" spans="1:6">
      <c r="A41" s="348" t="s">
        <v>32</v>
      </c>
      <c r="B41" s="348" t="s">
        <v>33</v>
      </c>
      <c r="C41" s="334">
        <v>78</v>
      </c>
      <c r="D41" s="334">
        <v>1377043.01421205</v>
      </c>
      <c r="E41" s="334">
        <v>230</v>
      </c>
      <c r="F41" s="334">
        <v>1704010.4426881501</v>
      </c>
    </row>
    <row r="42" spans="1:6">
      <c r="A42" s="348" t="s">
        <v>32</v>
      </c>
      <c r="B42" s="348" t="s">
        <v>34</v>
      </c>
      <c r="C42" s="334">
        <v>0</v>
      </c>
      <c r="D42" s="334">
        <v>0</v>
      </c>
      <c r="E42" s="334">
        <v>0</v>
      </c>
      <c r="F42" s="334">
        <v>0</v>
      </c>
    </row>
    <row r="43" spans="1:6">
      <c r="A43" s="348" t="s">
        <v>32</v>
      </c>
      <c r="B43" s="348" t="s">
        <v>35</v>
      </c>
      <c r="C43" s="334">
        <v>5</v>
      </c>
      <c r="D43" s="334">
        <v>149621373.60385901</v>
      </c>
      <c r="E43" s="334">
        <v>15</v>
      </c>
      <c r="F43" s="334">
        <v>231683.600454606</v>
      </c>
    </row>
    <row r="44" spans="1:6">
      <c r="A44" s="348" t="s">
        <v>32</v>
      </c>
      <c r="B44" s="348" t="s">
        <v>36</v>
      </c>
      <c r="C44" s="334">
        <v>0</v>
      </c>
      <c r="D44" s="334">
        <v>0</v>
      </c>
      <c r="E44" s="334">
        <v>14</v>
      </c>
      <c r="F44" s="334">
        <v>1291724.2065695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142688.203498071</v>
      </c>
      <c r="E47" s="334">
        <v>3</v>
      </c>
      <c r="F47" s="334">
        <v>143547.252035454</v>
      </c>
    </row>
    <row r="48" spans="1:6">
      <c r="A48" s="348" t="s">
        <v>32</v>
      </c>
      <c r="B48" s="348" t="s">
        <v>29</v>
      </c>
      <c r="C48" s="334">
        <v>63</v>
      </c>
      <c r="D48" s="334">
        <v>10128028.7406452</v>
      </c>
      <c r="E48" s="334">
        <v>118</v>
      </c>
      <c r="F48" s="334">
        <v>14664997.487345001</v>
      </c>
    </row>
    <row r="49" spans="1:6">
      <c r="A49" s="348" t="s">
        <v>32</v>
      </c>
      <c r="B49" s="348" t="s">
        <v>40</v>
      </c>
      <c r="C49" s="334">
        <v>3</v>
      </c>
      <c r="D49" s="334">
        <v>63783.863047410297</v>
      </c>
      <c r="E49" s="334">
        <v>3</v>
      </c>
      <c r="F49" s="334">
        <v>23834.409727955001</v>
      </c>
    </row>
    <row r="50" spans="1:6">
      <c r="A50" s="348" t="s">
        <v>32</v>
      </c>
      <c r="B50" s="348" t="s">
        <v>41</v>
      </c>
      <c r="C50" s="334">
        <v>4</v>
      </c>
      <c r="D50" s="334">
        <v>474134.57411317201</v>
      </c>
      <c r="E50" s="334">
        <v>12</v>
      </c>
      <c r="F50" s="334">
        <v>418780.03106730903</v>
      </c>
    </row>
    <row r="51" spans="1:6">
      <c r="A51" s="348" t="s">
        <v>42</v>
      </c>
      <c r="B51" s="348" t="s">
        <v>43</v>
      </c>
      <c r="C51" s="334">
        <v>0</v>
      </c>
      <c r="D51" s="334">
        <v>0</v>
      </c>
      <c r="E51" s="334">
        <v>125</v>
      </c>
      <c r="F51" s="334">
        <v>2053176.10219954</v>
      </c>
    </row>
    <row r="52" spans="1:6">
      <c r="A52" s="348" t="s">
        <v>42</v>
      </c>
      <c r="B52" s="348" t="s">
        <v>29</v>
      </c>
      <c r="C52" s="334">
        <v>7</v>
      </c>
      <c r="D52" s="334">
        <v>492423.98619265499</v>
      </c>
      <c r="E52" s="334">
        <v>25</v>
      </c>
      <c r="F52" s="334">
        <v>459777.90219435201</v>
      </c>
    </row>
    <row r="53" spans="1:6">
      <c r="A53" s="348" t="s">
        <v>44</v>
      </c>
      <c r="B53" s="348" t="s">
        <v>45</v>
      </c>
      <c r="C53" s="334">
        <v>112</v>
      </c>
      <c r="D53" s="334">
        <v>2104857.9906562101</v>
      </c>
      <c r="E53" s="334">
        <v>268</v>
      </c>
      <c r="F53" s="334">
        <v>1104253.9923252999</v>
      </c>
    </row>
    <row r="54" spans="1:6">
      <c r="A54" s="348" t="s">
        <v>46</v>
      </c>
      <c r="B54" s="348" t="s">
        <v>47</v>
      </c>
      <c r="C54" s="334">
        <v>0</v>
      </c>
      <c r="D54" s="334">
        <v>0</v>
      </c>
      <c r="E54" s="334">
        <v>1</v>
      </c>
      <c r="F54" s="334">
        <v>1920443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7418572.4958690498</v>
      </c>
      <c r="E57" s="334">
        <v>71</v>
      </c>
      <c r="F57" s="334">
        <v>893255.70491216006</v>
      </c>
    </row>
    <row r="58" spans="1:6">
      <c r="A58" s="348" t="s">
        <v>49</v>
      </c>
      <c r="B58" s="348" t="s">
        <v>51</v>
      </c>
      <c r="C58" s="334">
        <v>14</v>
      </c>
      <c r="D58" s="334">
        <v>485740.72729507199</v>
      </c>
      <c r="E58" s="334">
        <v>37</v>
      </c>
      <c r="F58" s="334">
        <v>337263.115892448</v>
      </c>
    </row>
    <row r="59" spans="1:6">
      <c r="A59" s="348" t="s">
        <v>49</v>
      </c>
      <c r="B59" s="348" t="s">
        <v>52</v>
      </c>
      <c r="C59" s="334">
        <v>82</v>
      </c>
      <c r="D59" s="334">
        <v>2491214.2218724098</v>
      </c>
      <c r="E59" s="334">
        <v>208</v>
      </c>
      <c r="F59" s="334">
        <v>4513316.0545371901</v>
      </c>
    </row>
    <row r="60" spans="1:6">
      <c r="A60" s="348" t="s">
        <v>49</v>
      </c>
      <c r="B60" s="348" t="s">
        <v>53</v>
      </c>
      <c r="C60" s="334">
        <v>38</v>
      </c>
      <c r="D60" s="334">
        <v>1095521.0290040099</v>
      </c>
      <c r="E60" s="334">
        <v>72</v>
      </c>
      <c r="F60" s="334">
        <v>1015239.3724725801</v>
      </c>
    </row>
    <row r="61" spans="1:6">
      <c r="A61" s="348" t="s">
        <v>49</v>
      </c>
      <c r="B61" s="348" t="s">
        <v>54</v>
      </c>
      <c r="C61" s="334">
        <v>117</v>
      </c>
      <c r="D61" s="334">
        <v>5905676.5743747801</v>
      </c>
      <c r="E61" s="334">
        <v>447</v>
      </c>
      <c r="F61" s="334">
        <v>6897584.5521294996</v>
      </c>
    </row>
    <row r="62" spans="1:6">
      <c r="A62" s="348" t="s">
        <v>49</v>
      </c>
      <c r="B62" s="348" t="s">
        <v>55</v>
      </c>
      <c r="C62" s="334">
        <v>6</v>
      </c>
      <c r="D62" s="334">
        <v>1635664.1365133999</v>
      </c>
      <c r="E62" s="334">
        <v>4</v>
      </c>
      <c r="F62" s="334">
        <v>155099.726676583</v>
      </c>
    </row>
    <row r="63" spans="1:6">
      <c r="A63" s="348" t="s">
        <v>49</v>
      </c>
      <c r="B63" s="348" t="s">
        <v>29</v>
      </c>
      <c r="C63" s="334">
        <v>192</v>
      </c>
      <c r="D63" s="334">
        <v>7087711.7839900898</v>
      </c>
      <c r="E63" s="334">
        <v>317</v>
      </c>
      <c r="F63" s="334">
        <v>8551154.5225178506</v>
      </c>
    </row>
    <row r="64" spans="1:6">
      <c r="A64" s="348" t="s">
        <v>56</v>
      </c>
      <c r="B64" s="348" t="s">
        <v>57</v>
      </c>
      <c r="C64" s="334">
        <v>0</v>
      </c>
      <c r="D64" s="334">
        <v>0</v>
      </c>
      <c r="E64" s="334">
        <v>0</v>
      </c>
      <c r="F64" s="334">
        <v>0</v>
      </c>
    </row>
    <row r="65" spans="1:6">
      <c r="A65" s="348" t="s">
        <v>56</v>
      </c>
      <c r="B65" s="348" t="s">
        <v>29</v>
      </c>
      <c r="C65" s="334">
        <v>0</v>
      </c>
      <c r="D65" s="334">
        <v>0</v>
      </c>
      <c r="E65" s="334">
        <v>6</v>
      </c>
      <c r="F65" s="334">
        <v>40270.067485068801</v>
      </c>
    </row>
    <row r="66" spans="1:6">
      <c r="A66" s="348" t="s">
        <v>56</v>
      </c>
      <c r="B66" s="348" t="s">
        <v>58</v>
      </c>
      <c r="C66" s="334">
        <v>0</v>
      </c>
      <c r="D66" s="334">
        <v>0</v>
      </c>
      <c r="E66" s="334">
        <v>5</v>
      </c>
      <c r="F66" s="334">
        <v>98831.896792885105</v>
      </c>
    </row>
    <row r="67" spans="1:6">
      <c r="A67" s="355" t="s">
        <v>56</v>
      </c>
      <c r="B67" s="355" t="s">
        <v>59</v>
      </c>
      <c r="C67" s="334">
        <v>0</v>
      </c>
      <c r="D67" s="334">
        <v>0</v>
      </c>
      <c r="E67" s="334">
        <v>0</v>
      </c>
      <c r="F67" s="334">
        <v>0</v>
      </c>
    </row>
    <row r="68" spans="1:6">
      <c r="A68" s="341" t="s">
        <v>56</v>
      </c>
      <c r="B68" s="341" t="s">
        <v>60</v>
      </c>
      <c r="C68" s="334">
        <v>4</v>
      </c>
      <c r="D68" s="334">
        <v>53412.438709653899</v>
      </c>
      <c r="E68" s="334">
        <v>18</v>
      </c>
      <c r="F68" s="334">
        <v>359547.06921544299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40758857</v>
      </c>
      <c r="E73" s="476">
        <v>36250710.391707979</v>
      </c>
    </row>
    <row r="74" spans="1:6">
      <c r="A74" s="348" t="s">
        <v>64</v>
      </c>
      <c r="B74" s="348" t="s">
        <v>657</v>
      </c>
      <c r="C74" s="1213" t="s">
        <v>659</v>
      </c>
      <c r="D74" s="476">
        <v>4108842.8507006592</v>
      </c>
      <c r="E74" s="476">
        <v>3874785.6178553286</v>
      </c>
    </row>
    <row r="75" spans="1:6">
      <c r="A75" s="348" t="s">
        <v>65</v>
      </c>
      <c r="B75" s="348" t="s">
        <v>656</v>
      </c>
      <c r="C75" s="1213" t="s">
        <v>660</v>
      </c>
      <c r="D75" s="476">
        <v>45195130</v>
      </c>
      <c r="E75" s="476">
        <v>38521267.721720025</v>
      </c>
    </row>
    <row r="76" spans="1:6">
      <c r="A76" s="348" t="s">
        <v>65</v>
      </c>
      <c r="B76" s="348" t="s">
        <v>657</v>
      </c>
      <c r="C76" s="1213" t="s">
        <v>661</v>
      </c>
      <c r="D76" s="476">
        <v>2449852.8507006592</v>
      </c>
      <c r="E76" s="476">
        <v>2051208.6929909599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316670.29859868129</v>
      </c>
      <c r="C83" s="476">
        <v>316405.26721915358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10592.474311393187</v>
      </c>
    </row>
    <row r="91" spans="1:6">
      <c r="A91" s="348" t="s">
        <v>68</v>
      </c>
      <c r="B91" s="334">
        <v>5384.6306424452332</v>
      </c>
    </row>
    <row r="92" spans="1:6">
      <c r="A92" s="341" t="s">
        <v>69</v>
      </c>
      <c r="B92" s="342">
        <v>3122.5863144760892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64</v>
      </c>
    </row>
    <row r="124" spans="1:6">
      <c r="A124" s="341" t="s">
        <v>89</v>
      </c>
      <c r="B124" s="334">
        <v>3</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270</v>
      </c>
    </row>
    <row r="130" spans="1:6">
      <c r="A130" s="348" t="s">
        <v>295</v>
      </c>
      <c r="B130" s="334">
        <v>5</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88916.336997791252</v>
      </c>
      <c r="C3" s="43" t="s">
        <v>170</v>
      </c>
      <c r="D3" s="43"/>
      <c r="E3" s="154"/>
      <c r="F3" s="43"/>
      <c r="G3" s="43"/>
      <c r="H3" s="43"/>
      <c r="I3" s="43"/>
      <c r="J3" s="43"/>
      <c r="K3" s="96"/>
    </row>
    <row r="4" spans="1:11">
      <c r="A4" s="383" t="s">
        <v>171</v>
      </c>
      <c r="B4" s="49">
        <f>IF(ISERROR('SEAP template'!B69),0,'SEAP template'!B69)</f>
        <v>19549.691268314509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0.17240958437812356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1920.443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0.17240958437812356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331.10277945187676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B46*B57</f>
        <v>4398.0325762893972</v>
      </c>
      <c r="F5" s="17">
        <f>B51*B62</f>
        <v>47727.645252257862</v>
      </c>
      <c r="G5" s="18"/>
      <c r="H5" s="17"/>
      <c r="I5" s="17"/>
      <c r="J5" s="17">
        <f>B50*B61+C50*C61</f>
        <v>860.35197800803235</v>
      </c>
      <c r="K5" s="17"/>
      <c r="L5" s="17"/>
      <c r="M5" s="17"/>
      <c r="N5" s="17">
        <f>B48*B59+C48*C59</f>
        <v>21478.016710613818</v>
      </c>
      <c r="O5" s="17">
        <f>B69*B70*B71</f>
        <v>529.97</v>
      </c>
      <c r="P5" s="17">
        <f>B77*B78*B79/1000-B77*B78*B79/1000/B80</f>
        <v>1334.6666666666667</v>
      </c>
    </row>
    <row r="6" spans="1:16">
      <c r="A6" s="16" t="s">
        <v>621</v>
      </c>
      <c r="B6" s="843">
        <f>kWh_PV_kleiner_dan_10kW</f>
        <v>5384.6306424452332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43157.634931079236</v>
      </c>
      <c r="C8" s="21">
        <f>C5</f>
        <v>0</v>
      </c>
      <c r="D8" s="21">
        <f>D5</f>
        <v>76242.38654563298</v>
      </c>
      <c r="E8" s="21">
        <f>E5</f>
        <v>4398.0325762893972</v>
      </c>
      <c r="F8" s="21">
        <f>F5</f>
        <v>47727.645252257862</v>
      </c>
      <c r="G8" s="21"/>
      <c r="H8" s="21"/>
      <c r="I8" s="21"/>
      <c r="J8" s="21">
        <f>J5</f>
        <v>860.35197800803235</v>
      </c>
      <c r="K8" s="21"/>
      <c r="L8" s="21">
        <f>L5</f>
        <v>0</v>
      </c>
      <c r="M8" s="21">
        <f>M5</f>
        <v>0</v>
      </c>
      <c r="N8" s="21">
        <f>N5</f>
        <v>21478.016710613818</v>
      </c>
      <c r="O8" s="21">
        <f>O5</f>
        <v>529.97</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0.17240958437812356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7440.7899012101589</v>
      </c>
      <c r="C12" s="23">
        <f ca="1">C10*C8</f>
        <v>0</v>
      </c>
      <c r="D12" s="23">
        <f>D8*D10</f>
        <v>15400.962082217862</v>
      </c>
      <c r="E12" s="23">
        <f>E10*E8</f>
        <v>998.35339481769324</v>
      </c>
      <c r="F12" s="23">
        <f>F10*F8</f>
        <v>12743.281282352849</v>
      </c>
      <c r="G12" s="23"/>
      <c r="H12" s="23"/>
      <c r="I12" s="23"/>
      <c r="J12" s="23">
        <f>J10*J8</f>
        <v>304.56460021484344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10097</v>
      </c>
      <c r="C28" s="36"/>
      <c r="D28" s="228"/>
    </row>
    <row r="29" spans="1:7" s="15" customFormat="1">
      <c r="A29" s="230" t="s">
        <v>795</v>
      </c>
      <c r="B29" s="37">
        <f>SUM(HH_hh_gas_aantal,HH_rest_gas_aantal)</f>
        <v>5660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5660</v>
      </c>
      <c r="C32" s="167">
        <f>IF(ISERROR(B32/SUM($B$32,$B$34,$B$35,$B$36,$B$38,$B$39)*100),0,B32/SUM($B$32,$B$34,$B$35,$B$36,$B$38,$B$39)*100)</f>
        <v>56.447591502942053</v>
      </c>
      <c r="D32" s="233"/>
      <c r="G32" s="15"/>
    </row>
    <row r="33" spans="1:7">
      <c r="A33" s="171" t="s">
        <v>72</v>
      </c>
      <c r="B33" s="34" t="s">
        <v>111</v>
      </c>
      <c r="C33" s="167"/>
      <c r="D33" s="233"/>
      <c r="G33" s="15"/>
    </row>
    <row r="34" spans="1:7">
      <c r="A34" s="171" t="s">
        <v>73</v>
      </c>
      <c r="B34" s="33">
        <f>IF((($B$28-$B$32-$B$39-$B$77-$B$38)*C20/100)&lt;0,0,($B$28-$B$32-$B$39-$B$77-$B$38)*C20/100)</f>
        <v>207.71465295629821</v>
      </c>
      <c r="C34" s="167">
        <f>IF(ISERROR(B34/SUM($B$32,$B$34,$B$35,$B$36,$B$38,$B$39)*100),0,B34/SUM($B$32,$B$34,$B$35,$B$36,$B$38,$B$39)*100)</f>
        <v>2.0715533355569784</v>
      </c>
      <c r="D34" s="233"/>
      <c r="G34" s="15"/>
    </row>
    <row r="35" spans="1:7">
      <c r="A35" s="171" t="s">
        <v>74</v>
      </c>
      <c r="B35" s="33">
        <f>IF((($B$28-$B$32-$B$39-$B$77-$B$38)*C21/100)&lt;0,0,($B$28-$B$32-$B$39-$B$77-$B$38)*C21/100)</f>
        <v>1993.6323907455014</v>
      </c>
      <c r="C35" s="167">
        <f>IF(ISERROR(B35/SUM($B$32,$B$34,$B$35,$B$36,$B$38,$B$39)*100),0,B35/SUM($B$32,$B$34,$B$35,$B$36,$B$38,$B$39)*100)</f>
        <v>19.882640777356151</v>
      </c>
      <c r="D35" s="233"/>
      <c r="G35" s="15"/>
    </row>
    <row r="36" spans="1:7">
      <c r="A36" s="171" t="s">
        <v>75</v>
      </c>
      <c r="B36" s="33">
        <f>IF((($B$28-$B$32-$B$39-$B$77-$B$38)*C22/100)&lt;0,0,($B$28-$B$32-$B$39-$B$77-$B$38)*C22/100)</f>
        <v>297.65295629820054</v>
      </c>
      <c r="C36" s="167">
        <f>IF(ISERROR(B36/SUM($B$32,$B$34,$B$35,$B$36,$B$38,$B$39)*100),0,B36/SUM($B$32,$B$34,$B$35,$B$36,$B$38,$B$39)*100)</f>
        <v>2.9685145736331955</v>
      </c>
      <c r="D36" s="233"/>
      <c r="G36" s="15"/>
    </row>
    <row r="37" spans="1:7">
      <c r="A37" s="171" t="s">
        <v>76</v>
      </c>
      <c r="B37" s="34" t="s">
        <v>111</v>
      </c>
      <c r="C37" s="167"/>
      <c r="D37" s="173"/>
      <c r="G37" s="15"/>
    </row>
    <row r="38" spans="1:7">
      <c r="A38" s="171" t="s">
        <v>77</v>
      </c>
      <c r="B38" s="33">
        <f>IF((B24-(B29-B18)*0.1)&lt;0,0,B24-(B29-B18)*0.1)</f>
        <v>24.399999999999977</v>
      </c>
      <c r="C38" s="167">
        <f>IF(ISERROR(B38/SUM($B$32,$B$34,$B$35,$B$36,$B$38,$B$39)*100),0,B38/SUM($B$32,$B$34,$B$35,$B$36,$B$38,$B$39)*100)</f>
        <v>0.24334297397028004</v>
      </c>
      <c r="D38" s="234"/>
      <c r="G38" s="15"/>
    </row>
    <row r="39" spans="1:7">
      <c r="A39" s="171" t="s">
        <v>78</v>
      </c>
      <c r="B39" s="33">
        <f>IF((B25-(B29-B18))&lt;0,0,B25-(B29-B18)*0.9)</f>
        <v>1843.6</v>
      </c>
      <c r="C39" s="167">
        <f>IF(ISERROR(B39/SUM($B$32,$B$34,$B$35,$B$36,$B$38,$B$39)*100),0,B39/SUM($B$32,$B$34,$B$35,$B$36,$B$38,$B$39)*100)</f>
        <v>18.386356836541339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5660</v>
      </c>
      <c r="C44" s="34" t="s">
        <v>111</v>
      </c>
      <c r="D44" s="174"/>
    </row>
    <row r="45" spans="1:7">
      <c r="A45" s="171" t="s">
        <v>72</v>
      </c>
      <c r="B45" s="33" t="str">
        <f t="shared" si="0"/>
        <v>-</v>
      </c>
      <c r="C45" s="34" t="s">
        <v>111</v>
      </c>
      <c r="D45" s="174"/>
    </row>
    <row r="46" spans="1:7">
      <c r="A46" s="171" t="s">
        <v>73</v>
      </c>
      <c r="B46" s="33">
        <f t="shared" si="0"/>
        <v>207.71465295629821</v>
      </c>
      <c r="C46" s="34" t="s">
        <v>111</v>
      </c>
      <c r="D46" s="174"/>
    </row>
    <row r="47" spans="1:7">
      <c r="A47" s="171" t="s">
        <v>74</v>
      </c>
      <c r="B47" s="33">
        <f t="shared" si="0"/>
        <v>1993.6323907455014</v>
      </c>
      <c r="C47" s="34" t="s">
        <v>111</v>
      </c>
      <c r="D47" s="174"/>
    </row>
    <row r="48" spans="1:7">
      <c r="A48" s="171" t="s">
        <v>75</v>
      </c>
      <c r="B48" s="33">
        <f t="shared" si="0"/>
        <v>297.65295629820054</v>
      </c>
      <c r="C48" s="33">
        <f>B48*10</f>
        <v>2976.5295629820052</v>
      </c>
      <c r="D48" s="234"/>
    </row>
    <row r="49" spans="1:6">
      <c r="A49" s="171" t="s">
        <v>76</v>
      </c>
      <c r="B49" s="33" t="str">
        <f t="shared" si="0"/>
        <v>-</v>
      </c>
      <c r="C49" s="34" t="s">
        <v>111</v>
      </c>
      <c r="D49" s="234"/>
    </row>
    <row r="50" spans="1:6">
      <c r="A50" s="171" t="s">
        <v>77</v>
      </c>
      <c r="B50" s="33">
        <f t="shared" si="0"/>
        <v>24.399999999999977</v>
      </c>
      <c r="C50" s="33">
        <f>B50*2</f>
        <v>48.799999999999955</v>
      </c>
      <c r="D50" s="234"/>
    </row>
    <row r="51" spans="1:6">
      <c r="A51" s="171" t="s">
        <v>78</v>
      </c>
      <c r="B51" s="33">
        <f t="shared" si="0"/>
        <v>1843.6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54</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53</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52</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51</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50</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55</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260</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488</v>
      </c>
      <c r="B13" s="247">
        <f ca="1">'lokale energieproductie'!N90+'lokale energieproductie'!N59</f>
        <v>450</v>
      </c>
      <c r="C13" s="247">
        <f ca="1">'lokale energieproductie'!O90+'lokale energieproductie'!O59</f>
        <v>642.85714285714289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-1285.7142857142858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22812.913049138311</v>
      </c>
      <c r="C16" s="21">
        <f t="shared" ca="1" si="1"/>
        <v>642.85714285714289</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319.62412918301698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0.17240958437812356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3933.1648572562076</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6897.5845521294996</v>
      </c>
      <c r="C26" s="39">
        <f>IF(ISERROR(B26*3.6/1000000/'E Balans VL '!Z12*100),0,B26*3.6/1000000/'E Balans VL '!Z12*100)</f>
        <v>0.14580401077548558</v>
      </c>
      <c r="D26" s="237" t="s">
        <v>754</v>
      </c>
      <c r="F26" s="6"/>
    </row>
    <row r="27" spans="1:18">
      <c r="A27" s="231" t="s">
        <v>53</v>
      </c>
      <c r="B27" s="33">
        <f>IF(ISERROR(TER_horeca_ele_kWh/1000),0,TER_horeca_ele_kWh/1000)</f>
        <v>1015.23937247258</v>
      </c>
      <c r="C27" s="39">
        <f>IF(ISERROR(B27*3.6/1000000/'E Balans VL '!Z9*100),0,B27*3.6/1000000/'E Balans VL '!Z9*100)</f>
        <v>8.0030941332981401E-2</v>
      </c>
      <c r="D27" s="237" t="s">
        <v>754</v>
      </c>
      <c r="F27" s="6"/>
    </row>
    <row r="28" spans="1:18">
      <c r="A28" s="171" t="s">
        <v>52</v>
      </c>
      <c r="B28" s="33">
        <f>IF(ISERROR(TER_handel_ele_kWh/1000),0,TER_handel_ele_kWh/1000)</f>
        <v>4513.3160545371902</v>
      </c>
      <c r="C28" s="39">
        <f>IF(ISERROR(B28*3.6/1000000/'E Balans VL '!Z13*100),0,B28*3.6/1000000/'E Balans VL '!Z13*100)</f>
        <v>0.13099466774296681</v>
      </c>
      <c r="D28" s="237" t="s">
        <v>754</v>
      </c>
      <c r="F28" s="6"/>
    </row>
    <row r="29" spans="1:18">
      <c r="A29" s="231" t="s">
        <v>51</v>
      </c>
      <c r="B29" s="33">
        <f>IF(ISERROR(TER_gezond_ele_kWh/1000),0,TER_gezond_ele_kWh/1000)</f>
        <v>337.26311589244801</v>
      </c>
      <c r="C29" s="39">
        <f>IF(ISERROR(B29*3.6/1000000/'E Balans VL '!Z10*100),0,B29*3.6/1000000/'E Balans VL '!Z10*100)</f>
        <v>3.5519344110019696E-2</v>
      </c>
      <c r="D29" s="237" t="s">
        <v>754</v>
      </c>
      <c r="F29" s="6"/>
    </row>
    <row r="30" spans="1:18">
      <c r="A30" s="231" t="s">
        <v>50</v>
      </c>
      <c r="B30" s="33">
        <f>IF(ISERROR(TER_ander_ele_kWh/1000),0,TER_ander_ele_kWh/1000)</f>
        <v>893.25570491216001</v>
      </c>
      <c r="C30" s="39">
        <f>IF(ISERROR(B30*3.6/1000000/'E Balans VL '!Z14*100),0,B30*3.6/1000000/'E Balans VL '!Z14*100)</f>
        <v>6.5886734808494926E-2</v>
      </c>
      <c r="D30" s="237" t="s">
        <v>754</v>
      </c>
      <c r="F30" s="6"/>
    </row>
    <row r="31" spans="1:18">
      <c r="A31" s="231" t="s">
        <v>55</v>
      </c>
      <c r="B31" s="33">
        <f>IF(ISERROR(TER_onderwijs_ele_kWh/1000),0,TER_onderwijs_ele_kWh/1000)</f>
        <v>155.099726676583</v>
      </c>
      <c r="C31" s="39">
        <f>IF(ISERROR(B31*3.6/1000000/'E Balans VL '!Z11*100),0,B31*3.6/1000000/'E Balans VL '!Z11*100)</f>
        <v>3.8518527432861521E-2</v>
      </c>
      <c r="D31" s="237" t="s">
        <v>754</v>
      </c>
    </row>
    <row r="32" spans="1:18">
      <c r="A32" s="231" t="s">
        <v>260</v>
      </c>
      <c r="B32" s="33">
        <f>IF(ISERROR(TER_rest_ele_kWh/1000),0,TER_rest_ele_kWh/1000)</f>
        <v>8551.1545225178506</v>
      </c>
      <c r="C32" s="39">
        <f>IF(ISERROR(B32*3.6/1000000/'E Balans VL '!Z8*100),0,B32*3.6/1000000/'E Balans VL '!Z8*100)</f>
        <v>7.0364651216501942E-2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4318.5215651939707</v>
      </c>
      <c r="O5" s="17">
        <f>B43*B44*B45</f>
        <v>0</v>
      </c>
      <c r="P5" s="17">
        <f>B51*B52*B53/1000-B51*B52*B53/1000/B54</f>
        <v>0</v>
      </c>
      <c r="R5" s="32"/>
    </row>
    <row r="6" spans="1:18">
      <c r="A6" s="6" t="s">
        <v>35</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33</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563.03147759243177</v>
      </c>
      <c r="O9" s="33"/>
      <c r="P9" s="33"/>
      <c r="R9" s="32"/>
    </row>
    <row r="10" spans="1:18">
      <c r="A10" s="6" t="s">
        <v>41</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40</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417.25788169854076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3289.5891269056287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4318.5215651939707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0.17240958437812356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3185.8838545859608</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1291.7242065695</v>
      </c>
      <c r="C30" s="39">
        <f>IF(ISERROR(B30*3.6/1000000/'E Balans VL '!Z18*100),0,B30*3.6/1000000/'E Balans VL '!Z18*100)</f>
        <v>7.3205322983792953E-2</v>
      </c>
      <c r="D30" s="237" t="s">
        <v>754</v>
      </c>
    </row>
    <row r="31" spans="1:18">
      <c r="A31" s="6" t="s">
        <v>33</v>
      </c>
      <c r="B31" s="37">
        <f>IF( ISERROR(IND_ander_ele_kWh/1000),0,IND_ander_ele_kWh/1000)</f>
        <v>1704.0104426881501</v>
      </c>
      <c r="C31" s="39">
        <f>IF(ISERROR(B31*3.6/1000000/'E Balans VL '!Z19*100),0,B31*3.6/1000000/'E Balans VL '!Z19*100)</f>
        <v>7.7286818304343974E-2</v>
      </c>
      <c r="D31" s="237" t="s">
        <v>754</v>
      </c>
    </row>
    <row r="32" spans="1:18">
      <c r="A32" s="171" t="s">
        <v>41</v>
      </c>
      <c r="B32" s="37">
        <f>IF( ISERROR(IND_voed_ele_kWh/1000),0,IND_voed_ele_kWh/1000)</f>
        <v>418.78003106730904</v>
      </c>
      <c r="C32" s="39">
        <f>IF(ISERROR(B32*3.6/1000000/'E Balans VL '!Z20*100),0,B32*3.6/1000000/'E Balans VL '!Z20*100)</f>
        <v>1.2954767461732528E-2</v>
      </c>
      <c r="D32" s="237" t="s">
        <v>754</v>
      </c>
    </row>
    <row r="33" spans="1:5">
      <c r="A33" s="171" t="s">
        <v>40</v>
      </c>
      <c r="B33" s="37">
        <f>IF( ISERROR(IND_textiel_ele_kWh/1000),0,IND_textiel_ele_kWh/1000)</f>
        <v>23.834409727955002</v>
      </c>
      <c r="C33" s="39">
        <f>IF(ISERROR(B33*3.6/1000000/'E Balans VL '!Z21*100),0,B33*3.6/1000000/'E Balans VL '!Z21*100)</f>
        <v>3.1077420955707832E-3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143.54725203545399</v>
      </c>
      <c r="C35" s="39">
        <f>IF(ISERROR(B35*3.6/1000000/'E Balans VL '!Z22*100),0,B35*3.6/1000000/'E Balans VL '!Z22*100)</f>
        <v>2.5819672018494583E-2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14664.997487345001</v>
      </c>
      <c r="C37" s="39">
        <f>IF(ISERROR(B37*3.6/1000000/'E Balans VL '!Z15*100),0,B37*3.6/1000000/'E Balans VL '!Z15*100)</f>
        <v>0.11623811541699267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2512.9540043938919</v>
      </c>
      <c r="C5" s="17">
        <f>'Eigen informatie GS &amp; warmtenet'!B60</f>
        <v>0</v>
      </c>
      <c r="D5" s="30">
        <f>IF(ISERROR(SUM(LB_lb_gas_kWh,LB_rest_gas_kWh,onbekend_gas_kWh)/1000),0,SUM(LB_lb_gas_kWh,LB_rest_gas_kWh,onbekend_gas_kWh)/1000)*0.902</f>
        <v>2342.7483431176761</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2512.9540043938919</v>
      </c>
      <c r="C8" s="21">
        <f>C5+C6</f>
        <v>0</v>
      </c>
      <c r="D8" s="21">
        <f>MAX((D5+D6),0)</f>
        <v>2342.7483431176761</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0.17240958437812356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433.25735545889222</v>
      </c>
      <c r="C12" s="23">
        <f ca="1">C8*C10</f>
        <v>0</v>
      </c>
      <c r="D12" s="23">
        <f>D8*D10</f>
        <v>473.23516530977059</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0.35659605737623989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377.24266161679884</v>
      </c>
      <c r="C26" s="247">
        <f>B26*'GWP N2O_CH4'!B5</f>
        <v>7922.0958939527754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156.34700990620507</v>
      </c>
      <c r="C27" s="247">
        <f>B27*'GWP N2O_CH4'!B5</f>
        <v>3283.2872080303064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7">
        <f>B28*'GWP N2O_CH4'!B4</f>
        <v>1677.2645495695701</v>
      </c>
      <c r="D28" s="50"/>
    </row>
    <row r="29" spans="1:4">
      <c r="A29" s="41" t="s">
        <v>277</v>
      </c>
      <c r="B29" s="247">
        <f>B34*'ha_N2O bodem landbouw'!B4</f>
        <v>27.745536809895341</v>
      </c>
      <c r="C29" s="247">
        <f>B29*'GWP N2O_CH4'!B4</f>
        <v>8601.1164110675563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6.3314358846446213E-3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1.2173249985055094E-4</v>
      </c>
      <c r="C5" s="463" t="s">
        <v>211</v>
      </c>
      <c r="D5" s="448">
        <f>SUM(D6:D11)</f>
        <v>5.1449514921873612E-4</v>
      </c>
      <c r="E5" s="448">
        <f>SUM(E6:E11)</f>
        <v>6.6841815352510555E-4</v>
      </c>
      <c r="F5" s="461" t="s">
        <v>211</v>
      </c>
      <c r="G5" s="448">
        <f>SUM(G6:G11)</f>
        <v>0.23325303659064839</v>
      </c>
      <c r="H5" s="448">
        <f>SUM(H6:H11)</f>
        <v>5.7432459838263387E-2</v>
      </c>
      <c r="I5" s="463" t="s">
        <v>211</v>
      </c>
      <c r="J5" s="463" t="s">
        <v>211</v>
      </c>
      <c r="K5" s="463" t="s">
        <v>211</v>
      </c>
      <c r="L5" s="463" t="s">
        <v>211</v>
      </c>
      <c r="M5" s="448">
        <f>SUM(M6:M11)</f>
        <v>1.5332456303535025E-2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5.7724809829486177E-5</v>
      </c>
      <c r="C6" s="449"/>
      <c r="D6" s="962">
        <f>vkm_2011_GW_PW*SUMIFS(TableVerdeelsleutelVkm[CNG],TableVerdeelsleutelVkm[Voertuigtype],"Lichte voertuigen")*SUMIFS(TableECFTransport[EnergieConsumptieFactor (PJ per km)],TableECFTransport[Index],CONCATENATE($A6,"_CNG_CNG"))</f>
        <v>1.7314129846124734E-4</v>
      </c>
      <c r="E6" s="962">
        <f>vkm_2011_GW_PW*SUMIFS(TableVerdeelsleutelVkm[LPG],TableVerdeelsleutelVkm[Voertuigtype],"Lichte voertuigen")*SUMIFS(TableECFTransport[EnergieConsumptieFactor (PJ per km)],TableECFTransport[Index],CONCATENATE($A6,"_LPG_LPG"))</f>
        <v>2.3653588421991244E-4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6.1157336685807799E-2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1.9689386043126311E-2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4.1574666608374172E-3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3.8557583004145898E-2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1.1749512382243905E-5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2.2531771202844572E-3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6.4007690021064767E-5</v>
      </c>
      <c r="C8" s="449"/>
      <c r="D8" s="451">
        <f>vkm_2011_NGW_PW*SUMIFS(TableVerdeelsleutelVkm[CNG],TableVerdeelsleutelVkm[Voertuigtype],"Lichte voertuigen")*SUMIFS(TableECFTransport[EnergieConsumptieFactor (PJ per km)],TableECFTransport[Index],CONCATENATE($A8,"_CNG_CNG"))</f>
        <v>3.4135385075748879E-4</v>
      </c>
      <c r="E8" s="451">
        <f>vkm_2011_NGW_PW*SUMIFS(TableVerdeelsleutelVkm[LPG],TableVerdeelsleutelVkm[Voertuigtype],"Lichte voertuigen")*SUMIFS(TableECFTransport[EnergieConsumptieFactor (PJ per km)],TableECFTransport[Index],CONCATENATE($A8,"_LPG_LPG"))</f>
        <v>4.3188226930519308E-4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0.10405992485845603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3.7722867769444987E-2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7.1992204763291472E-3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2.9478192042238675E-2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8.4565133098489754E-6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1.7225920460840038E-3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33.814583291819709</v>
      </c>
      <c r="C14" s="21"/>
      <c r="D14" s="21">
        <f t="shared" ref="D14:M14" si="0">((D5)*10^9/3600)+D12</f>
        <v>142.91531922742669</v>
      </c>
      <c r="E14" s="21">
        <f t="shared" si="0"/>
        <v>185.67170931252932</v>
      </c>
      <c r="F14" s="21"/>
      <c r="G14" s="21">
        <f t="shared" si="0"/>
        <v>64792.510164068997</v>
      </c>
      <c r="H14" s="21">
        <f t="shared" si="0"/>
        <v>15953.461066184274</v>
      </c>
      <c r="I14" s="21"/>
      <c r="J14" s="21"/>
      <c r="K14" s="21"/>
      <c r="L14" s="21"/>
      <c r="M14" s="21">
        <f t="shared" si="0"/>
        <v>4259.0156398708405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0.17240958437812356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5.8299582512620773</v>
      </c>
      <c r="C18" s="23"/>
      <c r="D18" s="23">
        <f t="shared" ref="D18:M18" si="1">D14*D16</f>
        <v>28.868894483940196</v>
      </c>
      <c r="E18" s="23">
        <f t="shared" si="1"/>
        <v>42.147478013944159</v>
      </c>
      <c r="F18" s="23"/>
      <c r="G18" s="23">
        <f t="shared" si="1"/>
        <v>17299.600213806425</v>
      </c>
      <c r="H18" s="23">
        <f t="shared" si="1"/>
        <v>3972.4118054798842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3.9774286167162847E-3</v>
      </c>
      <c r="H50" s="321">
        <f t="shared" si="2"/>
        <v>0</v>
      </c>
      <c r="I50" s="321">
        <f t="shared" si="2"/>
        <v>0</v>
      </c>
      <c r="J50" s="321">
        <f t="shared" si="2"/>
        <v>0</v>
      </c>
      <c r="K50" s="321">
        <f t="shared" si="2"/>
        <v>0</v>
      </c>
      <c r="L50" s="321">
        <f t="shared" si="2"/>
        <v>0</v>
      </c>
      <c r="M50" s="321">
        <f t="shared" si="2"/>
        <v>2.2590038676704229E-4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3.9774286167162847E-3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2.2590038676704229E-4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1104.8412824211903</v>
      </c>
      <c r="H54" s="21">
        <f t="shared" si="3"/>
        <v>0</v>
      </c>
      <c r="I54" s="21">
        <f t="shared" si="3"/>
        <v>0</v>
      </c>
      <c r="J54" s="21">
        <f t="shared" si="3"/>
        <v>0</v>
      </c>
      <c r="K54" s="21">
        <f t="shared" si="3"/>
        <v>0</v>
      </c>
      <c r="L54" s="21">
        <f t="shared" si="3"/>
        <v>0</v>
      </c>
      <c r="M54" s="21">
        <f t="shared" si="3"/>
        <v>62.750107435289522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0.17240958437812356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294.99262240645783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10592.474311393187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8507.216956921322</v>
      </c>
      <c r="C6" s="1204"/>
      <c r="D6" s="1189"/>
      <c r="E6" s="1189"/>
      <c r="F6" s="1207"/>
      <c r="G6" s="1210"/>
      <c r="H6" s="1201"/>
      <c r="I6" s="1189"/>
      <c r="J6" s="1189"/>
      <c r="K6" s="1189"/>
      <c r="L6" s="1193"/>
      <c r="M6" s="575"/>
      <c r="N6" s="1167"/>
      <c r="O6" s="1168"/>
      <c r="Q6" s="573"/>
      <c r="R6" s="1155"/>
      <c r="S6" s="1155"/>
    </row>
    <row r="7" spans="1:19" s="563" customFormat="1">
      <c r="A7" s="576" t="s">
        <v>252</v>
      </c>
      <c r="B7" s="577">
        <f>N57</f>
        <v>450</v>
      </c>
      <c r="C7" s="578">
        <f>B100</f>
        <v>0</v>
      </c>
      <c r="D7" s="579"/>
      <c r="E7" s="579">
        <f>E100</f>
        <v>0</v>
      </c>
      <c r="F7" s="580"/>
      <c r="G7" s="581"/>
      <c r="H7" s="579">
        <f>I100</f>
        <v>0</v>
      </c>
      <c r="I7" s="579">
        <f>G100+F100</f>
        <v>0</v>
      </c>
      <c r="J7" s="579">
        <f>H100+D100+C100</f>
        <v>529.41176470588232</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19549.691268314509</v>
      </c>
      <c r="C9" s="594">
        <f t="shared" ref="C9:L9" si="0">SUM(C7:C8)</f>
        <v>0</v>
      </c>
      <c r="D9" s="594">
        <f t="shared" si="0"/>
        <v>0</v>
      </c>
      <c r="E9" s="594">
        <f t="shared" si="0"/>
        <v>0</v>
      </c>
      <c r="F9" s="594">
        <f t="shared" si="0"/>
        <v>0</v>
      </c>
      <c r="G9" s="594">
        <f t="shared" si="0"/>
        <v>0</v>
      </c>
      <c r="H9" s="594">
        <f t="shared" si="0"/>
        <v>0</v>
      </c>
      <c r="I9" s="594">
        <f t="shared" si="0"/>
        <v>0</v>
      </c>
      <c r="J9" s="594">
        <f t="shared" si="0"/>
        <v>529.41176470588232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642.85714285714289</v>
      </c>
      <c r="C16" s="610">
        <f>B101</f>
        <v>0</v>
      </c>
      <c r="D16" s="611"/>
      <c r="E16" s="611">
        <f>E101</f>
        <v>0</v>
      </c>
      <c r="F16" s="612"/>
      <c r="G16" s="613"/>
      <c r="H16" s="610">
        <f>I101</f>
        <v>0</v>
      </c>
      <c r="I16" s="611">
        <f>G101+F101</f>
        <v>0</v>
      </c>
      <c r="J16" s="611">
        <f>H101+D101+C101</f>
        <v>756.30252100840346</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642.85714285714289</v>
      </c>
      <c r="C19" s="593">
        <f>SUM(C16:C18)</f>
        <v>0</v>
      </c>
      <c r="D19" s="593">
        <f t="shared" ref="D19:M19" si="1">SUM(D16:D18)</f>
        <v>0</v>
      </c>
      <c r="E19" s="593">
        <f t="shared" si="1"/>
        <v>0</v>
      </c>
      <c r="F19" s="593">
        <f t="shared" si="1"/>
        <v>0</v>
      </c>
      <c r="G19" s="593">
        <f t="shared" si="1"/>
        <v>0</v>
      </c>
      <c r="H19" s="593">
        <f t="shared" si="1"/>
        <v>0</v>
      </c>
      <c r="I19" s="593">
        <f t="shared" si="1"/>
        <v>0</v>
      </c>
      <c r="J19" s="593">
        <f t="shared" si="1"/>
        <v>756.30252100840346</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34042</v>
      </c>
      <c r="C27" s="851">
        <v>8550</v>
      </c>
      <c r="D27" s="672"/>
      <c r="E27" s="671"/>
      <c r="F27" s="671" t="s">
        <v>809</v>
      </c>
      <c r="G27" s="671" t="s">
        <v>810</v>
      </c>
      <c r="H27" s="671" t="s">
        <v>811</v>
      </c>
      <c r="I27" s="671" t="s">
        <v>812</v>
      </c>
      <c r="J27" s="850">
        <v>42284</v>
      </c>
      <c r="K27" s="850">
        <v>42286</v>
      </c>
      <c r="L27" s="671" t="s">
        <v>813</v>
      </c>
      <c r="M27" s="671">
        <v>600</v>
      </c>
      <c r="N27" s="671">
        <v>450</v>
      </c>
      <c r="O27" s="671">
        <v>642.85714285714289</v>
      </c>
      <c r="P27" s="671">
        <v>0</v>
      </c>
      <c r="Q27" s="671">
        <v>0</v>
      </c>
      <c r="R27" s="671">
        <v>1285.7142857142858</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600</v>
      </c>
      <c r="N57" s="629">
        <f>SUM(N27:N56)</f>
        <v>450</v>
      </c>
      <c r="O57" s="629">
        <f t="shared" ref="O57:W57" si="2">SUM(O27:O56)</f>
        <v>642.85714285714289</v>
      </c>
      <c r="P57" s="629">
        <f t="shared" si="2"/>
        <v>0</v>
      </c>
      <c r="Q57" s="629">
        <f t="shared" si="2"/>
        <v>0</v>
      </c>
      <c r="R57" s="629">
        <f t="shared" si="2"/>
        <v>1285.7142857142858</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v>
      </c>
      <c r="N59" s="629">
        <f ca="1">SUMIF($Z$27:AB56,"tertiair",N27:N56)</f>
        <v>450</v>
      </c>
      <c r="O59" s="629">
        <f ca="1">SUMIF($Z$27:AC56,"tertiair",O27:O56)</f>
        <v>642.85714285714289</v>
      </c>
      <c r="P59" s="629">
        <f ca="1">SUMIF($Z$27:AD56,"tertiair",P27:P56)</f>
        <v>0</v>
      </c>
      <c r="Q59" s="629">
        <f ca="1">SUMIF($Z$27:AE56,"tertiair",Q27:Q56)</f>
        <v>0</v>
      </c>
      <c r="R59" s="629">
        <f ca="1">SUMIF($Z$27:AF56,"tertiair",R27:R56)</f>
        <v>1285.7142857142858</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529.41176470588232</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756.30252100840346</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2018-09-06T12:47:49Z</dcterms:modified>
</cp:coreProperties>
</file>