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I20" i="15"/>
  <c r="J36" i="14" s="1"/>
  <c r="I5" i="48"/>
  <c r="I22" s="1"/>
  <c r="L22" i="16"/>
  <c r="M39"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H14" i="22" l="1"/>
  <c r="I19" i="14" s="1"/>
  <c r="I20" s="1"/>
  <c r="I23" s="1"/>
  <c r="E7" i="48"/>
  <c r="E2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<sst xmlns="http://schemas.openxmlformats.org/spreadsheetml/2006/main" count="1923" uniqueCount="816">
  <si>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</si>
  <si>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</si>
  <si>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</si>
  <si>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</si>
  <si>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</si>
  <si>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</si>
  <si>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</si>
  <si>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</si>
  <si>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</si>
  <si>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</si>
  <si>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</si>
  <si>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</si>
  <si>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</si>
  <si>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</si>
  <si>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</si>
  <si>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</si>
  <si>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</si>
  <si>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</si>
  <si>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</si>
  <si>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</si>
  <si>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</si>
  <si>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</si>
  <si>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</si>
  <si>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</si>
  <si>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</si>
  <si>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</si>
  <si>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</si>
  <si>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</si>
  <si>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</si>
  <si>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</si>
  <si>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</si>
  <si>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</si>
  <si>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</si>
  <si>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</si>
  <si>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</si>
  <si>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</si>
  <si>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</si>
  <si>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</si>
  <si>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</si>
  <si>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</si>
  <si>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</si>
  <si>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</si>
  <si>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</si>
  <si>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</si>
  <si>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</si>
  <si>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</si>
  <si>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</si>
  <si>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</si>
  <si>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</si>
  <si>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</si>
  <si>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</si>
  <si>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</si>
  <si>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</si>
  <si>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</si>
  <si>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</si>
  <si>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</si>
  <si>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</si>
  <si>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</si>
  <si>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</si>
  <si>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</si>
  <si>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</si>
  <si>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</si>
  <si>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</si>
  <si>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</si>
  <si>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</si>
  <si>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</si>
  <si>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</si>
  <si>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</si>
  <si>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</si>
  <si>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</si>
  <si>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</si>
  <si>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</si>
  <si>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</si>
  <si>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</si>
  <si>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</si>
  <si>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</si>
  <si>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</si>
  <si>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</si>
  <si>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</si>
  <si>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</si>
  <si>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</si>
  <si>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</si>
  <si>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</si>
  <si>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</si>
  <si>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</si>
  <si>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</si>
  <si>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</si>
  <si>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</si>
  <si>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</si>
  <si>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</si>
  <si>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</si>
  <si>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</si>
  <si>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</si>
  <si>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</si>
  <si>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</si>
  <si>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</si>
  <si>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</si>
  <si>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</si>
  <si>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</si>
  <si>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</si>
  <si>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</si>
  <si>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</si>
  <si>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</si>
  <si>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</si>
  <si>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</si>
  <si>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</si>
  <si>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</si>
  <si>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</si>
  <si>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</si>
  <si>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</si>
  <si>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</si>
  <si>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</si>
  <si>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</si>
  <si>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</si>
  <si>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</si>
  <si>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</si>
  <si>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</si>
  <si>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</si>
  <si>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</si>
  <si>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</si>
  <si>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</si>
  <si>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</si>
  <si>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</si>
  <si>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</si>
  <si>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</si>
  <si>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</si>
  <si>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</si>
  <si>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</si>
  <si>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</si>
  <si>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</si>
  <si>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</si>
  <si>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</si>
  <si>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</si>
  <si>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</si>
  <si>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</si>
  <si>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</si>
  <si>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</si>
  <si>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</si>
  <si>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</si>
  <si>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</si>
  <si>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</si>
  <si>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</si>
  <si>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</si>
  <si>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</si>
  <si>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</si>
  <si>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</si>
  <si>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</si>
  <si>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</si>
  <si>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</si>
  <si>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</si>
  <si>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</si>
  <si>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</si>
  <si>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</si>
  <si>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</si>
  <si>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</si>
  <si>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</si>
  <si>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</si>
  <si>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</si>
  <si>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</si>
  <si>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</si>
  <si>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</si>
  <si>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</si>
  <si>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</si>
  <si>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</si>
  <si>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</si>
  <si>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</si>
  <si>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</si>
  <si>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</si>
  <si>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</si>
  <si>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</si>
  <si>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</si>
  <si>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</si>
  <si>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</si>
  <si>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</si>
  <si>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</si>
  <si>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</si>
  <si>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</si>
  <si>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</si>
  <si>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</si>
  <si>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</si>
  <si>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</si>
  <si>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</si>
  <si>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</si>
  <si>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</si>
  <si>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</si>
  <si>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</si>
  <si>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</si>
  <si>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</si>
  <si>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</si>
  <si>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</si>
  <si>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</si>
  <si>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</si>
  <si>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</si>
  <si>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</si>
  <si>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</si>
  <si>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</si>
  <si>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</si>
  <si>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</si>
  <si>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</si>
  <si>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</si>
  <si>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</si>
  <si>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</si>
  <si>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</si>
  <si>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</si>
  <si>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</si>
  <si>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</si>
  <si>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</si>
  <si>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</si>
  <si>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</si>
  <si>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</si>
  <si>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</si>
  <si>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</si>
  <si>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</si>
  <si>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</si>
  <si>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</si>
  <si>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</si>
  <si>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</si>
  <si>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</si>
  <si>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</si>
  <si>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</si>
  <si>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</si>
  <si>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</si>
  <si>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</si>
  <si>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</si>
  <si>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</si>
  <si>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</si>
  <si>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</si>
  <si>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</si>
  <si>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</si>
  <si>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</si>
  <si>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</si>
  <si>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</si>
  <si>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</si>
  <si>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</si>
  <si>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</si>
  <si>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</si>
  <si>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</si>
  <si>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</si>
  <si>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</si>
  <si>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</si>
  <si>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</si>
  <si>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</si>
  <si>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</si>
  <si>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</si>
  <si>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</si>
  <si>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</si>
  <si>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</si>
  <si>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</si>
  <si>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</si>
  <si>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</si>
  <si>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</si>
  <si>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</si>
  <si>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</si>
  <si>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</si>
  <si>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</si>
  <si>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</si>
  <si>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</si>
  <si>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</si>
  <si>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</si>
  <si>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</si>
  <si>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</si>
  <si>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</si>
  <si>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</si>
  <si>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</si>
  <si>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</si>
  <si>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</si>
  <si>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</si>
  <si>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</si>
  <si>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</si>
  <si>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</si>
  <si>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</si>
  <si>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</si>
  <si>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</si>
  <si>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</si>
  <si>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</si>
  <si>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</si>
  <si>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</si>
  <si>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</si>
  <si>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</si>
  <si>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</si>
  <si>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</si>
  <si>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</si>
  <si>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</si>
  <si>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</si>
  <si>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</si>
  <si>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</si>
  <si>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</si>
  <si>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</si>
  <si>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</si>
  <si>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</si>
  <si>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</si>
  <si>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</si>
  <si>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</si>
  <si>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</si>
  <si>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</si>
  <si>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</si>
  <si>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</si>
  <si>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</si>
  <si>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</si>
  <si>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</si>
  <si>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</si>
  <si>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</si>
  <si>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</si>
  <si>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</si>
  <si>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</si>
  <si>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</si>
  <si>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</si>
  <si>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</si>
  <si>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</si>
  <si>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</si>
  <si>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</si>
  <si>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</si>
  <si>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</si>
  <si>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</si>
  <si>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</si>
  <si>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</si>
  <si>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</si>
  <si>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</si>
  <si>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</si>
  <si>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</si>
  <si>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</si>
  <si>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</si>
  <si>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</si>
  <si>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</si>
  <si>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</si>
  <si>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</si>
  <si>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</si>
  <si>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</si>
  <si>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</si>
  <si>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</si>
  <si>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</si>
  <si>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</si>
  <si>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</si>
  <si>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</si>
  <si>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</si>
  <si>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</si>
  <si>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</si>
  <si>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</si>
  <si>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</si>
  <si>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</si>
  <si>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</si>
  <si>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</si>
  <si>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</si>
  <si>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</si>
  <si>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</si>
  <si>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</si>
  <si>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</si>
  <si>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</si>
  <si>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</si>
  <si>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</si>
  <si>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</si>
  <si>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</si>
  <si>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</si>
  <si>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</si>
  <si>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</si>
  <si>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</si>
  <si>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</si>
  <si>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</si>
  <si>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</si>
  <si>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</si>
  <si>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</si>
  <si>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</si>
  <si>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</si>
  <si>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</si>
  <si>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</si>
  <si>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</si>
  <si>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</si>
  <si>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</si>
  <si>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</si>
  <si>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</si>
  <si>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</si>
  <si>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</si>
  <si>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</si>
  <si>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</si>
  <si>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</si>
  <si>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</si>
  <si>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</si>
  <si>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</si>
  <si>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</si>
  <si>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</si>
  <si>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</si>
  <si>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</si>
  <si>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</si>
  <si>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</si>
  <si>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</si>
  <si>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</si>
  <si>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</si>
  <si>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</si>
  <si>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</si>
  <si>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</si>
  <si>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</si>
  <si>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</si>
  <si>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</si>
  <si>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</si>
  <si>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</si>
  <si>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</si>
  <si>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</si>
  <si>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</si>
  <si>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</si>
  <si>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</si>
  <si>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</si>
  <si>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</si>
  <si>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</si>
  <si>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</si>
  <si>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</si>
  <si>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</si>
  <si>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</si>
  <si>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</si>
  <si>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</si>
  <si>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</si>
  <si>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</si>
  <si>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</si>
  <si>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</si>
  <si>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</si>
  <si>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</si>
  <si>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</si>
  <si>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</si>
  <si>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</si>
  <si>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</si>
  <si>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</si>
  <si>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</si>
  <si>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</si>
  <si>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</si>
  <si>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</si>
  <si>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</si>
  <si>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</si>
  <si>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</si>
  <si>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</si>
  <si>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</si>
  <si>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</si>
  <si>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</si>
  <si>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</si>
  <si>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</si>
  <si>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</si>
  <si>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</si>
  <si>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</si>
  <si>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</si>
  <si>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</si>
  <si>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</si>
  <si>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</si>
  <si>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</si>
  <si>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</si>
  <si>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</si>
  <si>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</si>
  <si>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</si>
  <si>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</si>
  <si>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</si>
  <si>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</si>
  <si>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</si>
  <si>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</si>
  <si>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</si>
  <si>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</si>
  <si>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</si>
  <si>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</si>
  <si>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</si>
  <si>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</si>
  <si>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</si>
  <si>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</si>
  <si>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</si>
  <si>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</si>
  <si>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</si>
  <si>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</si>
  <si>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</si>
  <si>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</si>
  <si>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</si>
  <si>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</si>
  <si>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</si>
  <si>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</si>
  <si>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</si>
  <si>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</si>
  <si>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</si>
  <si>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</si>
  <si>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</si>
  <si>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</si>
  <si>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</si>
  <si>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</si>
  <si>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</si>
  <si>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</si>
  <si>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</si>
  <si>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</si>
  <si>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</si>
  <si>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</si>
  <si>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</si>
  <si>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</si>
  <si>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</si>
  <si>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</si>
  <si>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</si>
  <si>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</si>
  <si>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</si>
  <si>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</si>
  <si>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</si>
  <si>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</si>
  <si>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</si>
  <si>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</si>
  <si>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</si>
  <si>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</si>
  <si>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</si>
  <si>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</si>
  <si>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</si>
  <si>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</si>
  <si>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</si>
  <si>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</si>
  <si>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</si>
  <si>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</si>
  <si>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</si>
  <si>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</si>
  <si>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</si>
  <si>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</si>
  <si>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</si>
  <si>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</si>
  <si>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</si>
  <si>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</si>
  <si>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</si>
  <si>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</si>
  <si>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</si>
  <si>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</si>
  <si>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</si>
  <si>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</si>
  <si>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</si>
  <si>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</si>
  <si>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</si>
  <si>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</si>
  <si>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</si>
  <si>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</si>
  <si>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</si>
  <si>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</si>
  <si>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</si>
  <si>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</si>
  <si>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</si>
  <si>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</si>
  <si>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</si>
  <si>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</si>
  <si>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</si>
  <si>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</si>
  <si>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</si>
  <si>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</si>
  <si>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</si>
  <si>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</si>
  <si>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</si>
  <si>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</si>
  <si>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</si>
  <si>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</si>
  <si>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</si>
  <si>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</si>
  <si>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</si>
  <si>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</si>
  <si>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</si>
  <si>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</si>
  <si>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</si>
  <si>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</si>
  <si>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</si>
  <si>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</si>
  <si>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</si>
  <si>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</si>
  <si>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</si>
  <si>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</si>
  <si>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</si>
  <si>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</si>
  <si>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</si>
  <si>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</si>
  <si>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</si>
  <si>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</si>
  <si>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</si>
  <si>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</si>
  <si>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</si>
  <si>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</si>
  <si>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</si>
  <si>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</si>
  <si>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</si>
  <si>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</si>
  <si>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</si>
  <si>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</si>
  <si>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</si>
  <si>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</si>
  <si>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</si>
  <si>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</si>
  <si>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</si>
  <si>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</si>
  <si>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</si>
  <si>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</si>
  <si>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</si>
  <si>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</si>
  <si>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</si>
  <si>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</si>
  <si>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</si>
  <si>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</si>
  <si>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</si>
  <si>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</si>
  <si>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</si>
  <si>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</si>
  <si>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</si>
  <si>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</si>
  <si>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</si>
  <si>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</si>
  <si>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</si>
  <si>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</si>
  <si>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</si>
  <si>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</si>
  <si>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</si>
  <si>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</si>
  <si>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</si>
  <si>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</si>
  <si>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</si>
  <si>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</si>
  <si>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</si>
  <si>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</si>
  <si>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</si>
  <si>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</si>
  <si>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</si>
  <si>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</si>
  <si>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</si>
  <si>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</si>
  <si>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</si>
  <si>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</si>
  <si>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</si>
  <si>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</si>
  <si>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</si>
  <si>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</si>
  <si>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</si>
  <si>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</si>
  <si>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</si>
  <si>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</si>
  <si>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</si>
  <si>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</si>
  <si>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</si>
  <si>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</si>
  <si>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</si>
  <si>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</si>
  <si>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</si>
  <si>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</si>
  <si>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</si>
  <si>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</si>
  <si>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</si>
  <si>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</si>
  <si>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</si>
  <si>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</si>
  <si>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</si>
  <si>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</si>
  <si>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</si>
  <si>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</si>
  <si>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</si>
  <si>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</si>
  <si>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</si>
  <si>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</si>
  <si>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</si>
  <si>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</si>
  <si>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</si>
  <si>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</si>
  <si>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</si>
  <si>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</si>
  <si>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</si>
  <si>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</si>
  <si>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</si>
  <si>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</si>
  <si>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</si>
  <si>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</si>
  <si>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</si>
  <si>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</si>
  <si>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</si>
  <si>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</si>
  <si>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</si>
  <si>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</si>
  <si>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</si>
  <si>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</si>
  <si>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</si>
  <si>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</si>
  <si>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</si>
  <si>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</si>
  <si>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</si>
  <si>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</si>
  <si>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</si>
  <si>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</si>
  <si>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</si>
  <si>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</si>
  <si>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</si>
  <si>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</si>
  <si>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</si>
  <si>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</si>
  <si>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</si>
  <si>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</si>
  <si>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</si>
  <si>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</si>
  <si>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</si>
  <si>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</si>
  <si>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</si>
  <si>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</si>
  <si>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</si>
  <si>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</si>
  <si>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</si>
  <si>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</si>
  <si>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</si>
  <si>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</si>
  <si>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</si>
  <si>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</si>
  <si>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</si>
  <si>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</si>
  <si>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</si>
  <si>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</si>
  <si>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</si>
  <si>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</si>
  <si>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</si>
  <si>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</si>
  <si>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</si>
  <si>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</si>
  <si>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</si>
  <si>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</si>
  <si>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</si>
  <si>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</si>
  <si>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</si>
  <si>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</si>
  <si>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</si>
  <si>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</si>
  <si>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</si>
  <si>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</si>
  <si>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</si>
  <si>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</si>
  <si>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</si>
  <si>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</si>
  <si>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</si>
  <si>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</si>
  <si>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</si>
  <si>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</si>
  <si>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</si>
  <si>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</si>
  <si>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</si>
  <si>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</si>
  <si>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</si>
  <si>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</si>
  <si>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</si>
  <si>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</si>
  <si>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</si>
  <si>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</si>
  <si>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</si>
  <si>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</si>
  <si>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</si>
  <si>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</si>
  <si>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</si>
  <si>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</si>
  <si>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</si>
  <si>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</si>
  <si>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</si>
  <si>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</si>
  <si>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</si>
  <si>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</si>
  <si>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</si>
  <si>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</si>
  <si>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</si>
  <si>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</si>
  <si>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</si>
  <si>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</si>
  <si>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</si>
  <si>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</si>
  <si>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</si>
  <si>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</si>
  <si>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</si>
  <si>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</si>
  <si>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</si>
  <si>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</si>
  <si>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</si>
  <si>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</si>
  <si>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</si>
  <si>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</si>
  <si>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</si>
  <si>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</si>
  <si>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</si>
  <si>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</si>
  <si>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</si>
  <si>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</si>
  <si>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</si>
  <si>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</si>
  <si>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</si>
  <si>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</si>
  <si>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</si>
  <si>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</si>
  <si>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</si>
  <si>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</si>
  <si>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</si>
  <si>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</si>
  <si>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</si>
  <si>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</si>
  <si>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</si>
  <si>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</si>
  <si>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</si>
  <si>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</si>
  <si>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</si>
  <si>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</si>
  <si>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</si>
  <si>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</si>
  <si>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</si>
  <si>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</si>
  <si>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</si>
  <si>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</si>
  <si>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</si>
  <si>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</si>
  <si>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</si>
  <si>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</si>
  <si>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</si>
  <si>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</si>
  <si>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</si>
  <si>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</si>
  <si>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</si>
  <si>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34025</t>
  </si>
  <si>
    <t>LENDELEDE</t>
  </si>
  <si>
    <t>Eandis (januari 2018); Infrax (juni 2018)</t>
  </si>
  <si>
    <t>MOW (september 2017)</t>
  </si>
  <si>
    <t>referentietaak LNE (2017); Jaarverslag De Lijn (2016)</t>
  </si>
  <si>
    <t>VEA (april 2018)</t>
  </si>
  <si>
    <t>VEA (januari 2017)</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</si>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</sst>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44567.21345129142</c:v>
                </c:pt>
                <c:pt idx="1">
                  <c:v>11741.110880216262</c:v>
                </c:pt>
                <c:pt idx="2">
                  <c:v>391.42200000000003</c:v>
                </c:pt>
                <c:pt idx="3">
                  <c:v>6302.3243927514832</c:v>
                </c:pt>
                <c:pt idx="4">
                  <c:v>41110.152045117677</c:v>
                </c:pt>
                <c:pt idx="5">
                  <c:v>32549.617535384212</c:v>
                </c:pt>
                <c:pt idx="6">
                  <c:v>161.72744845187384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72768"/>
        <c:axId val="182703232"/>
      </c:barChart>
      <c:catAx>
        <c:axId val="182672768"/>
        <c:scaling>
          <c:orientation val="minMax"/>
        </c:scaling>
        <c:axPos val="b"/>
        <c:numFmt formatCode="General" sourceLinked="0"/>
        <c:tickLblPos val="nextTo"/>
        <c:crossAx val="182703232"/>
        <c:crosses val="autoZero"/>
        <c:auto val="1"/>
        <c:lblAlgn val="ctr"/>
        <c:lblOffset val="100"/>
      </c:catAx>
      <c:valAx>
        <c:axId val="182703232"/>
        <c:scaling>
          <c:orientation val="minMax"/>
        </c:scaling>
        <c:axPos val="l"/>
        <c:majorGridlines/>
        <c:numFmt formatCode="#,##0" sourceLinked="1"/>
        <c:tickLblPos val="nextTo"/>
        <c:crossAx val="1826727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44567.21345129142</c:v>
                </c:pt>
                <c:pt idx="1">
                  <c:v>11741.110880216262</c:v>
                </c:pt>
                <c:pt idx="2">
                  <c:v>391.42200000000003</c:v>
                </c:pt>
                <c:pt idx="3">
                  <c:v>6302.3243927514832</c:v>
                </c:pt>
                <c:pt idx="4">
                  <c:v>41110.152045117677</c:v>
                </c:pt>
                <c:pt idx="5">
                  <c:v>32549.617535384212</c:v>
                </c:pt>
                <c:pt idx="6">
                  <c:v>161.72744845187384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7333.8711750787925</c:v>
                </c:pt>
                <c:pt idx="1">
                  <c:v>2401.609683124329</c:v>
                </c:pt>
                <c:pt idx="2">
                  <c:v>77.810581600093229</c:v>
                </c:pt>
                <c:pt idx="3">
                  <c:v>1596.1327789365437</c:v>
                </c:pt>
                <c:pt idx="4">
                  <c:v>8069.6634059142953</c:v>
                </c:pt>
                <c:pt idx="5">
                  <c:v>8144.7977290149647</c:v>
                </c:pt>
                <c:pt idx="6">
                  <c:v>40.860530960054277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04096"/>
        <c:axId val="183255040"/>
      </c:barChart>
      <c:catAx>
        <c:axId val="183204096"/>
        <c:scaling>
          <c:orientation val="minMax"/>
        </c:scaling>
        <c:axPos val="b"/>
        <c:numFmt formatCode="General" sourceLinked="0"/>
        <c:tickLblPos val="nextTo"/>
        <c:crossAx val="183255040"/>
        <c:crosses val="autoZero"/>
        <c:auto val="1"/>
        <c:lblAlgn val="ctr"/>
        <c:lblOffset val="100"/>
      </c:catAx>
      <c:valAx>
        <c:axId val="183255040"/>
        <c:scaling>
          <c:orientation val="minMax"/>
        </c:scaling>
        <c:axPos val="l"/>
        <c:majorGridlines/>
        <c:numFmt formatCode="#,##0" sourceLinked="1"/>
        <c:tickLblPos val="nextTo"/>
        <c:crossAx val="183204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7333.8711750787925</c:v>
                </c:pt>
                <c:pt idx="1">
                  <c:v>2401.609683124329</c:v>
                </c:pt>
                <c:pt idx="2">
                  <c:v>77.810581600093229</c:v>
                </c:pt>
                <c:pt idx="3">
                  <c:v>1596.1327789365437</c:v>
                </c:pt>
                <c:pt idx="4">
                  <c:v>8069.6634059142953</c:v>
                </c:pt>
                <c:pt idx="5">
                  <c:v>8144.7977290149647</c:v>
                </c:pt>
                <c:pt idx="6">
                  <c:v>40.860530960054277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34025</v>
      </c>
      <c r="B6" s="415"/>
      <c r="C6" s="416"/>
    </row>
    <row r="7" spans="1:7" s="413" customFormat="1" ht="15.75" customHeight="1">
      <c r="A7" s="417" t="str">
        <f>txtMunicipality</f>
        <v>LENDELEDE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2380</v>
      </c>
      <c r="C9" s="342">
        <v>2363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856.58</v>
      </c>
    </row>
    <row r="15" spans="1:6">
      <c r="A15" s="348" t="s">
        <v>184</v>
      </c>
      <c r="B15" s="334">
        <v>16</v>
      </c>
    </row>
    <row r="16" spans="1:6">
      <c r="A16" s="348" t="s">
        <v>6</v>
      </c>
      <c r="B16" s="334">
        <v>603</v>
      </c>
    </row>
    <row r="17" spans="1:6">
      <c r="A17" s="348" t="s">
        <v>7</v>
      </c>
      <c r="B17" s="334">
        <v>156</v>
      </c>
    </row>
    <row r="18" spans="1:6">
      <c r="A18" s="348" t="s">
        <v>8</v>
      </c>
      <c r="B18" s="334">
        <v>335</v>
      </c>
    </row>
    <row r="19" spans="1:6">
      <c r="A19" s="348" t="s">
        <v>9</v>
      </c>
      <c r="B19" s="334">
        <v>270</v>
      </c>
    </row>
    <row r="20" spans="1:6">
      <c r="A20" s="348" t="s">
        <v>10</v>
      </c>
      <c r="B20" s="334">
        <v>351</v>
      </c>
    </row>
    <row r="21" spans="1:6">
      <c r="A21" s="348" t="s">
        <v>11</v>
      </c>
      <c r="B21" s="334">
        <v>1582</v>
      </c>
    </row>
    <row r="22" spans="1:6">
      <c r="A22" s="348" t="s">
        <v>12</v>
      </c>
      <c r="B22" s="334">
        <v>7007</v>
      </c>
    </row>
    <row r="23" spans="1:6">
      <c r="A23" s="348" t="s">
        <v>13</v>
      </c>
      <c r="B23" s="334">
        <v>108</v>
      </c>
    </row>
    <row r="24" spans="1:6">
      <c r="A24" s="348" t="s">
        <v>14</v>
      </c>
      <c r="B24" s="334">
        <v>5</v>
      </c>
    </row>
    <row r="25" spans="1:6">
      <c r="A25" s="348" t="s">
        <v>15</v>
      </c>
      <c r="B25" s="334">
        <v>450</v>
      </c>
    </row>
    <row r="26" spans="1:6">
      <c r="A26" s="348" t="s">
        <v>16</v>
      </c>
      <c r="B26" s="334">
        <v>61</v>
      </c>
    </row>
    <row r="27" spans="1:6">
      <c r="A27" s="348" t="s">
        <v>17</v>
      </c>
      <c r="B27" s="334">
        <v>0</v>
      </c>
    </row>
    <row r="28" spans="1:6" s="356" customFormat="1">
      <c r="A28" s="355" t="s">
        <v>18</v>
      </c>
      <c r="B28" s="355">
        <v>69189</v>
      </c>
    </row>
    <row r="29" spans="1:6">
      <c r="A29" s="355" t="s">
        <v>744</v>
      </c>
      <c r="B29" s="355">
        <v>32</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13694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1668</v>
      </c>
      <c r="D39" s="334">
        <v>23820555</v>
      </c>
      <c r="E39" s="334">
        <v>2249</v>
      </c>
      <c r="F39" s="334">
        <v>7993125.4500000002</v>
      </c>
    </row>
    <row r="40" spans="1:6">
      <c r="A40" s="348" t="s">
        <v>30</v>
      </c>
      <c r="B40" s="348" t="s">
        <v>29</v>
      </c>
      <c r="C40" s="334">
        <v>0</v>
      </c>
      <c r="D40" s="334">
        <v>0</v>
      </c>
      <c r="E40" s="334">
        <v>0</v>
      </c>
      <c r="F40" s="334">
        <v>0</v>
      </c>
    </row>
    <row r="41" spans="1:6">
      <c r="A41" s="348" t="s">
        <v>32</v>
      </c>
      <c r="B41" s="348" t="s">
        <v>33</v>
      </c>
      <c r="C41" s="334">
        <v>33</v>
      </c>
      <c r="D41" s="334">
        <v>692869</v>
      </c>
      <c r="E41" s="334">
        <v>71</v>
      </c>
      <c r="F41" s="334">
        <v>713860.4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144033</v>
      </c>
      <c r="E44" s="334">
        <v>13</v>
      </c>
      <c r="F44" s="334">
        <v>279173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7</v>
      </c>
      <c r="D49" s="334">
        <v>226306</v>
      </c>
      <c r="E49" s="334">
        <v>12</v>
      </c>
      <c r="F49" s="334">
        <v>1987361</v>
      </c>
    </row>
    <row r="50" spans="1:6">
      <c r="A50" s="348" t="s">
        <v>32</v>
      </c>
      <c r="B50" s="348" t="s">
        <v>41</v>
      </c>
      <c r="C50" s="334">
        <v>7</v>
      </c>
      <c r="D50" s="334">
        <v>19133198</v>
      </c>
      <c r="E50" s="334">
        <v>12</v>
      </c>
      <c r="F50" s="334">
        <v>16343784</v>
      </c>
    </row>
    <row r="51" spans="1:6">
      <c r="A51" s="348" t="s">
        <v>42</v>
      </c>
      <c r="B51" s="348" t="s">
        <v>43</v>
      </c>
      <c r="C51" s="334">
        <v>8</v>
      </c>
      <c r="D51" s="334">
        <v>399193</v>
      </c>
      <c r="E51" s="334">
        <v>51</v>
      </c>
      <c r="F51" s="334">
        <v>1112736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391422</v>
      </c>
    </row>
    <row r="55" spans="1:6">
      <c r="A55" s="348" t="s">
        <v>46</v>
      </c>
      <c r="B55" s="348" t="s">
        <v>29</v>
      </c>
      <c r="C55" s="334">
        <v>0</v>
      </c>
      <c r="D55" s="334">
        <v>0</v>
      </c>
      <c r="E55" s="334">
        <v>0</v>
      </c>
      <c r="F55" s="334">
        <v>0</v>
      </c>
    </row>
    <row r="56" spans="1:6">
      <c r="A56" s="348" t="s">
        <v>48</v>
      </c>
      <c r="B56" s="348" t="s">
        <v>29</v>
      </c>
      <c r="C56" s="334">
        <v>6</v>
      </c>
      <c r="D56" s="334">
        <v>341543.55</v>
      </c>
      <c r="E56" s="334">
        <v>8</v>
      </c>
      <c r="F56" s="334">
        <v>183960.55</v>
      </c>
    </row>
    <row r="57" spans="1:6">
      <c r="A57" s="348" t="s">
        <v>49</v>
      </c>
      <c r="B57" s="348" t="s">
        <v>50</v>
      </c>
      <c r="C57" s="334">
        <v>24</v>
      </c>
      <c r="D57" s="334">
        <v>1686028</v>
      </c>
      <c r="E57" s="334">
        <v>32</v>
      </c>
      <c r="F57" s="334">
        <v>267247</v>
      </c>
    </row>
    <row r="58" spans="1:6">
      <c r="A58" s="348" t="s">
        <v>49</v>
      </c>
      <c r="B58" s="348" t="s">
        <v>51</v>
      </c>
      <c r="C58" s="334">
        <v>5</v>
      </c>
      <c r="D58" s="334">
        <v>1009488</v>
      </c>
      <c r="E58" s="334">
        <v>8</v>
      </c>
      <c r="F58" s="334">
        <v>395691</v>
      </c>
    </row>
    <row r="59" spans="1:6">
      <c r="A59" s="348" t="s">
        <v>49</v>
      </c>
      <c r="B59" s="348" t="s">
        <v>52</v>
      </c>
      <c r="C59" s="334">
        <v>42</v>
      </c>
      <c r="D59" s="334">
        <v>1554322</v>
      </c>
      <c r="E59" s="334">
        <v>86</v>
      </c>
      <c r="F59" s="334">
        <v>2335434</v>
      </c>
    </row>
    <row r="60" spans="1:6">
      <c r="A60" s="348" t="s">
        <v>49</v>
      </c>
      <c r="B60" s="348" t="s">
        <v>53</v>
      </c>
      <c r="C60" s="334">
        <v>10</v>
      </c>
      <c r="D60" s="334">
        <v>205746</v>
      </c>
      <c r="E60" s="334">
        <v>12</v>
      </c>
      <c r="F60" s="334">
        <v>220070</v>
      </c>
    </row>
    <row r="61" spans="1:6">
      <c r="A61" s="348" t="s">
        <v>49</v>
      </c>
      <c r="B61" s="348" t="s">
        <v>54</v>
      </c>
      <c r="C61" s="334">
        <v>53</v>
      </c>
      <c r="D61" s="334">
        <v>1121464.1000000001</v>
      </c>
      <c r="E61" s="334">
        <v>106</v>
      </c>
      <c r="F61" s="334">
        <v>959637.54999999993</v>
      </c>
    </row>
    <row r="62" spans="1:6">
      <c r="A62" s="348" t="s">
        <v>49</v>
      </c>
      <c r="B62" s="348" t="s">
        <v>55</v>
      </c>
      <c r="C62" s="334">
        <v>0</v>
      </c>
      <c r="D62" s="334">
        <v>0</v>
      </c>
      <c r="E62" s="334">
        <v>3</v>
      </c>
      <c r="F62" s="334">
        <v>150452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42612</v>
      </c>
      <c r="E68" s="334">
        <v>4</v>
      </c>
      <c r="F68" s="334">
        <v>23546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20650762</v>
      </c>
      <c r="E73" s="476">
        <v>17281545.64641786</v>
      </c>
    </row>
    <row r="74" spans="1:6">
      <c r="A74" s="348" t="s">
        <v>64</v>
      </c>
      <c r="B74" s="348" t="s">
        <v>657</v>
      </c>
      <c r="C74" s="1213" t="s">
        <v>659</v>
      </c>
      <c r="D74" s="476">
        <v>2195186.4065342615</v>
      </c>
      <c r="E74" s="476">
        <v>2056662.2180149334</v>
      </c>
    </row>
    <row r="75" spans="1:6">
      <c r="A75" s="348" t="s">
        <v>65</v>
      </c>
      <c r="B75" s="348" t="s">
        <v>656</v>
      </c>
      <c r="C75" s="1213" t="s">
        <v>660</v>
      </c>
      <c r="D75" s="476">
        <v>12624993</v>
      </c>
      <c r="E75" s="476">
        <v>10552091.961140817</v>
      </c>
    </row>
    <row r="76" spans="1:6">
      <c r="A76" s="348" t="s">
        <v>65</v>
      </c>
      <c r="B76" s="348" t="s">
        <v>657</v>
      </c>
      <c r="C76" s="1213" t="s">
        <v>661</v>
      </c>
      <c r="D76" s="476">
        <v>801690.40653426154</v>
      </c>
      <c r="E76" s="476">
        <v>764169.48953194253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43863.186931476936</v>
      </c>
      <c r="C83" s="476">
        <v>43826.476444278182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1473.936971299067</v>
      </c>
    </row>
    <row r="92" spans="1:6">
      <c r="A92" s="341" t="s">
        <v>69</v>
      </c>
      <c r="B92" s="342">
        <v>663.2315197792451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36131.021163574304</v>
      </c>
      <c r="C3" s="43" t="s">
        <v>170</v>
      </c>
      <c r="D3" s="43"/>
      <c r="E3" s="154"/>
      <c r="F3" s="43"/>
      <c r="G3" s="43"/>
      <c r="H3" s="43"/>
      <c r="I3" s="43"/>
      <c r="J3" s="43"/>
      <c r="K3" s="96"/>
    </row>
    <row r="4" spans="1:11">
      <c r="A4" s="383" t="s">
        <v>171</v>
      </c>
      <c r="B4" s="49">
        <f>IF(ISERROR('SEAP template'!B69),0,'SEAP template'!B69)</f>
        <v>3631.1684910783119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0.19878949471438301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391.42200000000003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391.42200000000003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0.19878949471438301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77.810581600093229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7993.1254500000005</v>
      </c>
      <c r="C5" s="17">
        <f>IF(ISERROR('Eigen informatie GS &amp; warmtenet'!B57),0,'Eigen informatie GS &amp; warmtenet'!B57)</f>
        <v>0</v>
      </c>
      <c r="D5" s="30">
        <f>(SUM(HH_hh_gas_kWh,HH_rest_gas_kWh)/1000)*0.902</f>
        <v>21486.140610000002</v>
      </c>
      <c r="E5" s="17">
        <f>B46*B57</f>
        <v>1307.1354904261236</v>
      </c>
      <c r="F5" s="17">
        <f>B51*B62</f>
        <v>2187.5602212062213</v>
      </c>
      <c r="G5" s="18"/>
      <c r="H5" s="17"/>
      <c r="I5" s="17"/>
      <c r="J5" s="17">
        <f>B50*B61+C50*C61</f>
        <v>652.31604889953337</v>
      </c>
      <c r="K5" s="17"/>
      <c r="L5" s="17"/>
      <c r="M5" s="17"/>
      <c r="N5" s="17">
        <f>B48*B59+C48*C59</f>
        <v>9265.6653261271367</v>
      </c>
      <c r="O5" s="17">
        <f>B69*B70*B71</f>
        <v>125.06666666666666</v>
      </c>
      <c r="P5" s="17">
        <f>B77*B78*B79/1000-B77*B78*B79/1000/B80</f>
        <v>76.266666666666666</v>
      </c>
    </row>
    <row r="6" spans="1:16">
      <c r="A6" s="16" t="s">
        <v>621</v>
      </c>
      <c r="B6" s="843">
        <f>kWh_PV_kleiner_dan_10kW</f>
        <v>1473.936971299067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9467.0624212990679</v>
      </c>
      <c r="C8" s="21">
        <f>C5</f>
        <v>0</v>
      </c>
      <c r="D8" s="21">
        <f>D5</f>
        <v>21486.140610000002</v>
      </c>
      <c r="E8" s="21">
        <f>E5</f>
        <v>1307.1354904261236</v>
      </c>
      <c r="F8" s="21">
        <f>F5</f>
        <v>2187.5602212062213</v>
      </c>
      <c r="G8" s="21"/>
      <c r="H8" s="21"/>
      <c r="I8" s="21"/>
      <c r="J8" s="21">
        <f>J5</f>
        <v>652.31604889953337</v>
      </c>
      <c r="K8" s="21"/>
      <c r="L8" s="21">
        <f>L5</f>
        <v>0</v>
      </c>
      <c r="M8" s="21">
        <f>M5</f>
        <v>0</v>
      </c>
      <c r="N8" s="21">
        <f>N5</f>
        <v>9265.6653261271367</v>
      </c>
      <c r="O8" s="21">
        <f>O5</f>
        <v>125.06666666666666</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0.19878949471438301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1881.952555159565</v>
      </c>
      <c r="C12" s="23">
        <f ca="1">C10*C8</f>
        <v>0</v>
      </c>
      <c r="D12" s="23">
        <f>D8*D10</f>
        <v>4340.2004032200011</v>
      </c>
      <c r="E12" s="23">
        <f>E10*E8</f>
        <v>296.71975632673008</v>
      </c>
      <c r="F12" s="23">
        <f>F10*F8</f>
        <v>584.07857906206107</v>
      </c>
      <c r="G12" s="23"/>
      <c r="H12" s="23"/>
      <c r="I12" s="23"/>
      <c r="J12" s="23">
        <f>J10*J8</f>
        <v>230.91988131043479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2380</v>
      </c>
      <c r="C28" s="36"/>
      <c r="D28" s="228"/>
    </row>
    <row r="29" spans="1:7" s="15" customFormat="1">
      <c r="A29" s="230" t="s">
        <v>795</v>
      </c>
      <c r="B29" s="37">
        <f>SUM(HH_hh_gas_aantal,HH_rest_gas_aantal)</f>
        <v>1668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1668</v>
      </c>
      <c r="C32" s="167">
        <f>IF(ISERROR(B32/SUM($B$32,$B$34,$B$35,$B$36,$B$38,$B$39)*100),0,B32/SUM($B$32,$B$34,$B$35,$B$36,$B$38,$B$39)*100)</f>
        <v>70.202020202020194</v>
      </c>
      <c r="D32" s="233"/>
      <c r="G32" s="15"/>
    </row>
    <row r="33" spans="1:7">
      <c r="A33" s="171" t="s">
        <v>72</v>
      </c>
      <c r="B33" s="34" t="s">
        <v>111</v>
      </c>
      <c r="C33" s="167"/>
      <c r="D33" s="233"/>
      <c r="G33" s="15"/>
    </row>
    <row r="34" spans="1:7">
      <c r="A34" s="171" t="s">
        <v>73</v>
      </c>
      <c r="B34" s="33">
        <f>IF((($B$28-$B$32-$B$39-$B$77-$B$38)*C20/100)&lt;0,0,($B$28-$B$32-$B$39-$B$77-$B$38)*C20/100)</f>
        <v>61.734693877551017</v>
      </c>
      <c r="C34" s="167">
        <f>IF(ISERROR(B34/SUM($B$32,$B$34,$B$35,$B$36,$B$38,$B$39)*100),0,B34/SUM($B$32,$B$34,$B$35,$B$36,$B$38,$B$39)*100)</f>
        <v>2.5982615268329554</v>
      </c>
      <c r="D34" s="233"/>
      <c r="G34" s="15"/>
    </row>
    <row r="35" spans="1:7">
      <c r="A35" s="171" t="s">
        <v>74</v>
      </c>
      <c r="B35" s="33">
        <f>IF((($B$28-$B$32-$B$39-$B$77-$B$38)*C21/100)&lt;0,0,($B$28-$B$32-$B$39-$B$77-$B$38)*C21/100)</f>
        <v>414.85714285714283</v>
      </c>
      <c r="C35" s="167">
        <f>IF(ISERROR(B35/SUM($B$32,$B$34,$B$35,$B$36,$B$38,$B$39)*100),0,B35/SUM($B$32,$B$34,$B$35,$B$36,$B$38,$B$39)*100)</f>
        <v>17.460317460317459</v>
      </c>
      <c r="D35" s="233"/>
      <c r="G35" s="15"/>
    </row>
    <row r="36" spans="1:7">
      <c r="A36" s="171" t="s">
        <v>75</v>
      </c>
      <c r="B36" s="33">
        <f>IF((($B$28-$B$32-$B$39-$B$77-$B$38)*C22/100)&lt;0,0,($B$28-$B$32-$B$39-$B$77-$B$38)*C22/100)</f>
        <v>128.40816326530611</v>
      </c>
      <c r="C36" s="167">
        <f>IF(ISERROR(B36/SUM($B$32,$B$34,$B$35,$B$36,$B$38,$B$39)*100),0,B36/SUM($B$32,$B$34,$B$35,$B$36,$B$38,$B$39)*100)</f>
        <v>5.4043839758125465</v>
      </c>
      <c r="D36" s="233"/>
      <c r="G36" s="15"/>
    </row>
    <row r="37" spans="1:7">
      <c r="A37" s="171" t="s">
        <v>76</v>
      </c>
      <c r="B37" s="34" t="s">
        <v>111</v>
      </c>
      <c r="C37" s="167"/>
      <c r="D37" s="173"/>
      <c r="G37" s="15"/>
    </row>
    <row r="38" spans="1:7">
      <c r="A38" s="171" t="s">
        <v>77</v>
      </c>
      <c r="B38" s="33">
        <f>IF((B24-(B29-B18)*0.1)&lt;0,0,B24-(B29-B18)*0.1)</f>
        <v>18.5</v>
      </c>
      <c r="C38" s="167">
        <f>IF(ISERROR(B38/SUM($B$32,$B$34,$B$35,$B$36,$B$38,$B$39)*100),0,B38/SUM($B$32,$B$34,$B$35,$B$36,$B$38,$B$39)*100)</f>
        <v>0.77861952861952866</v>
      </c>
      <c r="D38" s="234"/>
      <c r="G38" s="15"/>
    </row>
    <row r="39" spans="1:7">
      <c r="A39" s="171" t="s">
        <v>78</v>
      </c>
      <c r="B39" s="33">
        <f>IF((B25-(B29-B18))&lt;0,0,B25-(B29-B18)*0.9)</f>
        <v>84.5</v>
      </c>
      <c r="C39" s="167">
        <f>IF(ISERROR(B39/SUM($B$32,$B$34,$B$35,$B$36,$B$38,$B$39)*100),0,B39/SUM($B$32,$B$34,$B$35,$B$36,$B$38,$B$39)*100)</f>
        <v>3.5563973063973062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1668</v>
      </c>
      <c r="C44" s="34" t="s">
        <v>111</v>
      </c>
      <c r="D44" s="174"/>
    </row>
    <row r="45" spans="1:7">
      <c r="A45" s="171" t="s">
        <v>72</v>
      </c>
      <c r="B45" s="33" t="str">
        <f t="shared" si="0"/>
        <v>-</v>
      </c>
      <c r="C45" s="34" t="s">
        <v>111</v>
      </c>
      <c r="D45" s="174"/>
    </row>
    <row r="46" spans="1:7">
      <c r="A46" s="171" t="s">
        <v>73</v>
      </c>
      <c r="B46" s="33">
        <f t="shared" si="0"/>
        <v>61.734693877551017</v>
      </c>
      <c r="C46" s="34" t="s">
        <v>111</v>
      </c>
      <c r="D46" s="174"/>
    </row>
    <row r="47" spans="1:7">
      <c r="A47" s="171" t="s">
        <v>74</v>
      </c>
      <c r="B47" s="33">
        <f t="shared" si="0"/>
        <v>414.85714285714283</v>
      </c>
      <c r="C47" s="34" t="s">
        <v>111</v>
      </c>
      <c r="D47" s="174"/>
    </row>
    <row r="48" spans="1:7">
      <c r="A48" s="171" t="s">
        <v>75</v>
      </c>
      <c r="B48" s="33">
        <f t="shared" si="0"/>
        <v>128.40816326530611</v>
      </c>
      <c r="C48" s="33">
        <f>B48*10</f>
        <v>1284.0816326530612</v>
      </c>
      <c r="D48" s="234"/>
    </row>
    <row r="49" spans="1:6">
      <c r="A49" s="171" t="s">
        <v>76</v>
      </c>
      <c r="B49" s="33" t="str">
        <f t="shared" si="0"/>
        <v>-</v>
      </c>
      <c r="C49" s="34" t="s">
        <v>111</v>
      </c>
      <c r="D49" s="234"/>
    </row>
    <row r="50" spans="1:6">
      <c r="A50" s="171" t="s">
        <v>77</v>
      </c>
      <c r="B50" s="33">
        <f t="shared" si="0"/>
        <v>18.5</v>
      </c>
      <c r="C50" s="33">
        <f>B50*2</f>
        <v>37</v>
      </c>
      <c r="D50" s="234"/>
    </row>
    <row r="51" spans="1:6">
      <c r="A51" s="171" t="s">
        <v>78</v>
      </c>
      <c r="B51" s="33">
        <f t="shared" si="0"/>
        <v>84.5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4328.5315500000006</v>
      </c>
      <c r="C5" s="17">
        <f>IF(ISERROR('Eigen informatie GS &amp; warmtenet'!B58),0,'Eigen informatie GS &amp; warmtenet'!B58)</f>
        <v>0</v>
      </c>
      <c r="D5" s="30">
        <f>SUM(D6:D12)</f>
        <v>5030.4973861999997</v>
      </c>
      <c r="E5" s="17">
        <f>SUM(E6:E12)</f>
        <v>90.476685011070259</v>
      </c>
      <c r="F5" s="17">
        <f>SUM(F6:F12)</f>
        <v>776.96945812040121</v>
      </c>
      <c r="G5" s="18"/>
      <c r="H5" s="17"/>
      <c r="I5" s="17"/>
      <c r="J5" s="17">
        <f>SUM(J6:J12)</f>
        <v>5.8008847906857184E-3</v>
      </c>
      <c r="K5" s="17"/>
      <c r="L5" s="17"/>
      <c r="M5" s="17"/>
      <c r="N5" s="17">
        <f>SUM(N6:N12)</f>
        <v>237.69971264963814</v>
      </c>
      <c r="O5" s="17">
        <f>B38*B39*B40</f>
        <v>1.5633333333333335</v>
      </c>
      <c r="P5" s="17">
        <f>B46*B47*B48/1000-B46*B47*B48/1000/B49</f>
        <v>19.066666666666666</v>
      </c>
      <c r="R5" s="32"/>
    </row>
    <row r="6" spans="1:18">
      <c r="A6" s="32" t="s">
        <v>54</v>
      </c>
      <c r="B6" s="37">
        <f>B26</f>
        <v>959.63754999999992</v>
      </c>
      <c r="C6" s="33"/>
      <c r="D6" s="37">
        <f>IF(ISERROR(TER_kantoor_gas_kWh/1000),0,TER_kantoor_gas_kWh/1000)*0.902</f>
        <v>1011.5606182000001</v>
      </c>
      <c r="E6" s="33">
        <f>$C$26*'E Balans VL '!I12/100/3.6*1000000</f>
        <v>6.0146889929511256E-3</v>
      </c>
      <c r="F6" s="33">
        <f>$C$26*('E Balans VL '!L12+'E Balans VL '!N12)/100/3.6*1000000</f>
        <v>144.2067089344217</v>
      </c>
      <c r="G6" s="34"/>
      <c r="H6" s="33"/>
      <c r="I6" s="33"/>
      <c r="J6" s="33">
        <f>$C$26*('E Balans VL '!D12+'E Balans VL '!E12)/100/3.6*1000000</f>
        <v>0</v>
      </c>
      <c r="K6" s="33"/>
      <c r="L6" s="33"/>
      <c r="M6" s="33"/>
      <c r="N6" s="33">
        <f>$C$26*'E Balans VL '!Y12/100/3.6*1000000</f>
        <v>0.91775103469360597</v>
      </c>
      <c r="O6" s="33"/>
      <c r="P6" s="33"/>
      <c r="R6" s="32"/>
    </row>
    <row r="7" spans="1:18">
      <c r="A7" s="32" t="s">
        <v>53</v>
      </c>
      <c r="B7" s="37">
        <f t="shared" ref="B7:B12" si="0">B27</f>
        <v>220.07</v>
      </c>
      <c r="C7" s="33"/>
      <c r="D7" s="37">
        <f>IF(ISERROR(TER_horeca_gas_kWh/1000),0,TER_horeca_gas_kWh/1000)*0.902</f>
        <v>185.58289200000002</v>
      </c>
      <c r="E7" s="33">
        <f>$C$27*'E Balans VL '!I9/100/3.6*1000000</f>
        <v>3.1513657433356874</v>
      </c>
      <c r="F7" s="33">
        <f>$C$27*('E Balans VL '!L9+'E Balans VL '!N9)/100/3.6*1000000</f>
        <v>27.868120188227966</v>
      </c>
      <c r="G7" s="34"/>
      <c r="H7" s="33"/>
      <c r="I7" s="33"/>
      <c r="J7" s="33">
        <f>$C$27*('E Balans VL '!D9+'E Balans VL '!E9)/100/3.6*1000000</f>
        <v>0</v>
      </c>
      <c r="K7" s="33"/>
      <c r="L7" s="33"/>
      <c r="M7" s="33"/>
      <c r="N7" s="33">
        <f>$C$27*'E Balans VL '!Y9/100/3.6*1000000</f>
        <v>6.3265272873004957E-2</v>
      </c>
      <c r="O7" s="33"/>
      <c r="P7" s="33"/>
      <c r="R7" s="32"/>
    </row>
    <row r="8" spans="1:18">
      <c r="A8" s="6" t="s">
        <v>52</v>
      </c>
      <c r="B8" s="37">
        <f t="shared" si="0"/>
        <v>2335.4340000000002</v>
      </c>
      <c r="C8" s="33"/>
      <c r="D8" s="37">
        <f>IF(ISERROR(TER_handel_gas_kWh/1000),0,TER_handel_gas_kWh/1000)*0.902</f>
        <v>1401.9984439999998</v>
      </c>
      <c r="E8" s="33">
        <f>$C$28*'E Balans VL '!I13/100/3.6*1000000</f>
        <v>84.705903187181661</v>
      </c>
      <c r="F8" s="33">
        <f>$C$28*('E Balans VL '!L13+'E Balans VL '!N13)/100/3.6*1000000</f>
        <v>449.82823617272851</v>
      </c>
      <c r="G8" s="34"/>
      <c r="H8" s="33"/>
      <c r="I8" s="33"/>
      <c r="J8" s="33">
        <f>$C$28*('E Balans VL '!D13+'E Balans VL '!E13)/100/3.6*1000000</f>
        <v>0</v>
      </c>
      <c r="K8" s="33"/>
      <c r="L8" s="33"/>
      <c r="M8" s="33"/>
      <c r="N8" s="33">
        <f>$C$28*'E Balans VL '!Y13/100/3.6*1000000</f>
        <v>3.2351134493978893</v>
      </c>
      <c r="O8" s="33"/>
      <c r="P8" s="33"/>
      <c r="R8" s="32"/>
    </row>
    <row r="9" spans="1:18">
      <c r="A9" s="32" t="s">
        <v>51</v>
      </c>
      <c r="B9" s="37">
        <f t="shared" si="0"/>
        <v>395.69099999999997</v>
      </c>
      <c r="C9" s="33"/>
      <c r="D9" s="37">
        <f>IF(ISERROR(TER_gezond_gas_kWh/1000),0,TER_gezond_gas_kWh/1000)*0.902</f>
        <v>910.55817600000012</v>
      </c>
      <c r="E9" s="33">
        <f>$C$29*'E Balans VL '!I10/100/3.6*1000000</f>
        <v>2.4774163342831095E-2</v>
      </c>
      <c r="F9" s="33">
        <f>$C$29*('E Balans VL '!L10+'E Balans VL '!N10)/100/3.6*1000000</f>
        <v>58.781102814359308</v>
      </c>
      <c r="G9" s="34"/>
      <c r="H9" s="33"/>
      <c r="I9" s="33"/>
      <c r="J9" s="33">
        <f>$C$29*('E Balans VL '!D10+'E Balans VL '!E10)/100/3.6*1000000</f>
        <v>0</v>
      </c>
      <c r="K9" s="33"/>
      <c r="L9" s="33"/>
      <c r="M9" s="33"/>
      <c r="N9" s="33">
        <f>$C$29*'E Balans VL '!Y10/100/3.6*1000000</f>
        <v>6.1205865689177879</v>
      </c>
      <c r="O9" s="33"/>
      <c r="P9" s="33"/>
      <c r="R9" s="32"/>
    </row>
    <row r="10" spans="1:18">
      <c r="A10" s="32" t="s">
        <v>50</v>
      </c>
      <c r="B10" s="37">
        <f t="shared" si="0"/>
        <v>267.24700000000001</v>
      </c>
      <c r="C10" s="33"/>
      <c r="D10" s="37">
        <f>IF(ISERROR(TER_ander_gas_kWh/1000),0,TER_ander_gas_kWh/1000)*0.902</f>
        <v>1520.7972560000001</v>
      </c>
      <c r="E10" s="33">
        <f>$C$30*'E Balans VL '!I14/100/3.6*1000000</f>
        <v>0.31854887420585171</v>
      </c>
      <c r="F10" s="33">
        <f>$C$30*('E Balans VL '!L14+'E Balans VL '!N14)/100/3.6*1000000</f>
        <v>69.923696068459265</v>
      </c>
      <c r="G10" s="34"/>
      <c r="H10" s="33"/>
      <c r="I10" s="33"/>
      <c r="J10" s="33">
        <f>$C$30*('E Balans VL '!D14+'E Balans VL '!E14)/100/3.6*1000000</f>
        <v>5.8008847906857184E-3</v>
      </c>
      <c r="K10" s="33"/>
      <c r="L10" s="33"/>
      <c r="M10" s="33"/>
      <c r="N10" s="33">
        <f>$C$30*'E Balans VL '!Y14/100/3.6*1000000</f>
        <v>226.93961295795924</v>
      </c>
      <c r="O10" s="33"/>
      <c r="P10" s="33"/>
      <c r="R10" s="32"/>
    </row>
    <row r="11" spans="1:18">
      <c r="A11" s="32" t="s">
        <v>55</v>
      </c>
      <c r="B11" s="37">
        <f t="shared" si="0"/>
        <v>150.452</v>
      </c>
      <c r="C11" s="33"/>
      <c r="D11" s="37">
        <f>IF(ISERROR(TER_onderwijs_gas_kWh/1000),0,TER_onderwijs_gas_kWh/1000)*0.902</f>
        <v>0</v>
      </c>
      <c r="E11" s="33">
        <f>$C$31*'E Balans VL '!I11/100/3.6*1000000</f>
        <v>2.2700783540112957</v>
      </c>
      <c r="F11" s="33">
        <f>$C$31*('E Balans VL '!L11+'E Balans VL '!N11)/100/3.6*1000000</f>
        <v>26.361593942204578</v>
      </c>
      <c r="G11" s="34"/>
      <c r="H11" s="33"/>
      <c r="I11" s="33"/>
      <c r="J11" s="33">
        <f>$C$31*('E Balans VL '!D11+'E Balans VL '!E11)/100/3.6*1000000</f>
        <v>0</v>
      </c>
      <c r="K11" s="33"/>
      <c r="L11" s="33"/>
      <c r="M11" s="33"/>
      <c r="N11" s="33">
        <f>$C$31*'E Balans VL '!Y11/100/3.6*1000000</f>
        <v>0.42338336579661273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1494</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-4268.5714285714284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5822.5315500000006</v>
      </c>
      <c r="C16" s="21">
        <f t="shared" ca="1" si="1"/>
        <v>0</v>
      </c>
      <c r="D16" s="21">
        <f t="shared" ca="1" si="1"/>
        <v>5030.4973861999997</v>
      </c>
      <c r="E16" s="21">
        <f t="shared" si="1"/>
        <v>90.476685011070259</v>
      </c>
      <c r="F16" s="21">
        <f t="shared" ca="1" si="1"/>
        <v>776.96945812040121</v>
      </c>
      <c r="G16" s="21">
        <f t="shared" si="1"/>
        <v>0</v>
      </c>
      <c r="H16" s="21">
        <f t="shared" si="1"/>
        <v>0</v>
      </c>
      <c r="I16" s="21">
        <f t="shared" si="1"/>
        <v>0</v>
      </c>
      <c r="J16" s="21">
        <f t="shared" si="1"/>
        <v>5.8008847906857184E-3</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0.19878949471438301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1157.4581047830534</v>
      </c>
      <c r="C20" s="23">
        <f t="shared" ref="C20:P20" ca="1" si="2">C16*C18</f>
        <v>0</v>
      </c>
      <c r="D20" s="23">
        <f t="shared" ca="1" si="2"/>
        <v>1016.1604720124</v>
      </c>
      <c r="E20" s="23">
        <f t="shared" si="2"/>
        <v>20.53820749751295</v>
      </c>
      <c r="F20" s="23">
        <f t="shared" ca="1" si="2"/>
        <v>207.45084531814715</v>
      </c>
      <c r="G20" s="23">
        <f t="shared" si="2"/>
        <v>0</v>
      </c>
      <c r="H20" s="23">
        <f t="shared" si="2"/>
        <v>0</v>
      </c>
      <c r="I20" s="23">
        <f t="shared" si="2"/>
        <v>0</v>
      </c>
      <c r="J20" s="23">
        <f t="shared" si="2"/>
        <v>2.0535132159027443E-3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959.63754999999992</v>
      </c>
      <c r="C26" s="39">
        <f>IF(ISERROR(B26*3.6/1000000/'E Balans VL '!Z12*100),0,B26*3.6/1000000/'E Balans VL '!Z12*100)</f>
        <v>2.0285217618327453E-2</v>
      </c>
      <c r="D26" s="237" t="s">
        <v>754</v>
      </c>
      <c r="F26" s="6"/>
    </row>
    <row r="27" spans="1:18">
      <c r="A27" s="231" t="s">
        <v>53</v>
      </c>
      <c r="B27" s="33">
        <f>IF(ISERROR(TER_horeca_ele_kWh/1000),0,TER_horeca_ele_kWh/1000)</f>
        <v>220.07</v>
      </c>
      <c r="C27" s="39">
        <f>IF(ISERROR(B27*3.6/1000000/'E Balans VL '!Z9*100),0,B27*3.6/1000000/'E Balans VL '!Z9*100)</f>
        <v>1.7348036075723508E-2</v>
      </c>
      <c r="D27" s="237" t="s">
        <v>754</v>
      </c>
      <c r="F27" s="6"/>
    </row>
    <row r="28" spans="1:18">
      <c r="A28" s="171" t="s">
        <v>52</v>
      </c>
      <c r="B28" s="33">
        <f>IF(ISERROR(TER_handel_ele_kWh/1000),0,TER_handel_ele_kWh/1000)</f>
        <v>2335.4340000000002</v>
      </c>
      <c r="C28" s="39">
        <f>IF(ISERROR(B28*3.6/1000000/'E Balans VL '!Z13*100),0,B28*3.6/1000000/'E Balans VL '!Z13*100)</f>
        <v>6.778373089074502E-2</v>
      </c>
      <c r="D28" s="237" t="s">
        <v>754</v>
      </c>
      <c r="F28" s="6"/>
    </row>
    <row r="29" spans="1:18">
      <c r="A29" s="231" t="s">
        <v>51</v>
      </c>
      <c r="B29" s="33">
        <f>IF(ISERROR(TER_gezond_ele_kWh/1000),0,TER_gezond_ele_kWh/1000)</f>
        <v>395.69099999999997</v>
      </c>
      <c r="C29" s="39">
        <f>IF(ISERROR(B29*3.6/1000000/'E Balans VL '!Z10*100),0,B29*3.6/1000000/'E Balans VL '!Z10*100)</f>
        <v>4.1672759717726708E-2</v>
      </c>
      <c r="D29" s="237" t="s">
        <v>754</v>
      </c>
      <c r="F29" s="6"/>
    </row>
    <row r="30" spans="1:18">
      <c r="A30" s="231" t="s">
        <v>50</v>
      </c>
      <c r="B30" s="33">
        <f>IF(ISERROR(TER_ander_ele_kWh/1000),0,TER_ander_ele_kWh/1000)</f>
        <v>267.24700000000001</v>
      </c>
      <c r="C30" s="39">
        <f>IF(ISERROR(B30*3.6/1000000/'E Balans VL '!Z14*100),0,B30*3.6/1000000/'E Balans VL '!Z14*100)</f>
        <v>1.9712196765759662E-2</v>
      </c>
      <c r="D30" s="237" t="s">
        <v>754</v>
      </c>
      <c r="F30" s="6"/>
    </row>
    <row r="31" spans="1:18">
      <c r="A31" s="231" t="s">
        <v>55</v>
      </c>
      <c r="B31" s="33">
        <f>IF(ISERROR(TER_onderwijs_ele_kWh/1000),0,TER_onderwijs_ele_kWh/1000)</f>
        <v>150.452</v>
      </c>
      <c r="C31" s="39">
        <f>IF(ISERROR(B31*3.6/1000000/'E Balans VL '!Z11*100),0,B31*3.6/1000000/'E Balans VL '!Z11*100)</f>
        <v>3.7364279186726898E-2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19324.178400000001</v>
      </c>
      <c r="C5" s="17">
        <f>IF(ISERROR('Eigen informatie GS &amp; warmtenet'!B59),0,'Eigen informatie GS &amp; warmtenet'!B59)</f>
        <v>0</v>
      </c>
      <c r="D5" s="30">
        <f>SUM(D6:D15)</f>
        <v>18217.158212000002</v>
      </c>
      <c r="E5" s="17">
        <f>SUM(E6:E15)</f>
        <v>251.7198375418871</v>
      </c>
      <c r="F5" s="17">
        <f>SUM(F6:F15)</f>
        <v>1839.7505021037159</v>
      </c>
      <c r="G5" s="18"/>
      <c r="H5" s="17"/>
      <c r="I5" s="17"/>
      <c r="J5" s="17">
        <f>SUM(J6:J15)</f>
        <v>0</v>
      </c>
      <c r="K5" s="17"/>
      <c r="L5" s="17"/>
      <c r="M5" s="17"/>
      <c r="N5" s="17">
        <f>SUM(N6:N15)</f>
        <v>1477.3450934720718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279.173</v>
      </c>
      <c r="C8" s="33"/>
      <c r="D8" s="37">
        <f>IF( ISERROR(IND_metaal_Gas_kWH/1000),0,IND_metaal_Gas_kWH/1000)*0.902</f>
        <v>129.917766</v>
      </c>
      <c r="E8" s="33">
        <f>C30*'E Balans VL '!I18/100/3.6*1000000</f>
        <v>2.566726107152431</v>
      </c>
      <c r="F8" s="33">
        <f>C30*'E Balans VL '!L18/100/3.6*1000000+C30*'E Balans VL '!N18/100/3.6*1000000</f>
        <v>26.177132789986963</v>
      </c>
      <c r="G8" s="34"/>
      <c r="H8" s="33"/>
      <c r="I8" s="33"/>
      <c r="J8" s="40">
        <f>C30*'E Balans VL '!D18/100/3.6*1000000+C30*'E Balans VL '!E18/100/3.6*1000000</f>
        <v>0</v>
      </c>
      <c r="K8" s="33"/>
      <c r="L8" s="33"/>
      <c r="M8" s="33"/>
      <c r="N8" s="33">
        <f>C30*'E Balans VL '!Y18/100/3.6*1000000</f>
        <v>3.9828641978105503</v>
      </c>
      <c r="O8" s="33"/>
      <c r="P8" s="33"/>
      <c r="R8" s="32"/>
    </row>
    <row r="9" spans="1:18">
      <c r="A9" s="6" t="s">
        <v>33</v>
      </c>
      <c r="B9" s="37">
        <f t="shared" si="0"/>
        <v>713.86040000000003</v>
      </c>
      <c r="C9" s="33"/>
      <c r="D9" s="37">
        <f>IF( ISERROR(IND_andere_gas_kWh/1000),0,IND_andere_gas_kWh/1000)*0.902</f>
        <v>624.96783800000003</v>
      </c>
      <c r="E9" s="33">
        <f>C31*'E Balans VL '!I19/100/3.6*1000000</f>
        <v>208.67529214282007</v>
      </c>
      <c r="F9" s="33">
        <f>C31*'E Balans VL '!L19/100/3.6*1000000+C31*'E Balans VL '!N19/100/3.6*1000000</f>
        <v>573.64086566729145</v>
      </c>
      <c r="G9" s="34"/>
      <c r="H9" s="33"/>
      <c r="I9" s="33"/>
      <c r="J9" s="40">
        <f>C31*'E Balans VL '!D19/100/3.6*1000000+C31*'E Balans VL '!E19/100/3.6*1000000</f>
        <v>0</v>
      </c>
      <c r="K9" s="33"/>
      <c r="L9" s="33"/>
      <c r="M9" s="33"/>
      <c r="N9" s="33">
        <f>C31*'E Balans VL '!Y19/100/3.6*1000000</f>
        <v>235.870547349856</v>
      </c>
      <c r="O9" s="33"/>
      <c r="P9" s="33"/>
      <c r="R9" s="32"/>
    </row>
    <row r="10" spans="1:18">
      <c r="A10" s="6" t="s">
        <v>41</v>
      </c>
      <c r="B10" s="37">
        <f t="shared" si="0"/>
        <v>16343.784</v>
      </c>
      <c r="C10" s="33"/>
      <c r="D10" s="37">
        <f>IF( ISERROR(IND_voed_gas_kWh/1000),0,IND_voed_gas_kWh/1000)*0.902</f>
        <v>17258.144596000002</v>
      </c>
      <c r="E10" s="33">
        <f>C32*'E Balans VL '!I20/100/3.6*1000000</f>
        <v>34.575528465372315</v>
      </c>
      <c r="F10" s="33">
        <f>C32*'E Balans VL '!L20/100/3.6*1000000+C32*'E Balans VL '!N20/100/3.6*1000000</f>
        <v>1039.1544814057916</v>
      </c>
      <c r="G10" s="34"/>
      <c r="H10" s="33"/>
      <c r="I10" s="33"/>
      <c r="J10" s="40">
        <f>C32*'E Balans VL '!D20/100/3.6*1000000+C32*'E Balans VL '!E20/100/3.6*1000000</f>
        <v>0</v>
      </c>
      <c r="K10" s="33"/>
      <c r="L10" s="33"/>
      <c r="M10" s="33"/>
      <c r="N10" s="33">
        <f>C32*'E Balans VL '!Y20/100/3.6*1000000</f>
        <v>1127.8823804014289</v>
      </c>
      <c r="O10" s="33"/>
      <c r="P10" s="33"/>
      <c r="R10" s="32"/>
    </row>
    <row r="11" spans="1:18">
      <c r="A11" s="6" t="s">
        <v>40</v>
      </c>
      <c r="B11" s="37">
        <f t="shared" si="0"/>
        <v>1987.3610000000001</v>
      </c>
      <c r="C11" s="33"/>
      <c r="D11" s="37">
        <f>IF( ISERROR(IND_textiel_gas_kWh/1000),0,IND_textiel_gas_kWh/1000)*0.902</f>
        <v>204.12801200000001</v>
      </c>
      <c r="E11" s="33">
        <f>C33*'E Balans VL '!I21/100/3.6*1000000</f>
        <v>5.9022908265422922</v>
      </c>
      <c r="F11" s="33">
        <f>C33*'E Balans VL '!L21/100/3.6*1000000+C33*'E Balans VL '!N21/100/3.6*1000000</f>
        <v>200.77802224064595</v>
      </c>
      <c r="G11" s="34"/>
      <c r="H11" s="33"/>
      <c r="I11" s="33"/>
      <c r="J11" s="40">
        <f>C33*'E Balans VL '!D21/100/3.6*1000000+C33*'E Balans VL '!E21/100/3.6*1000000</f>
        <v>0</v>
      </c>
      <c r="K11" s="33"/>
      <c r="L11" s="33"/>
      <c r="M11" s="33"/>
      <c r="N11" s="33">
        <f>C33*'E Balans VL '!Y21/100/3.6*1000000</f>
        <v>109.60930152297615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19324.178400000001</v>
      </c>
      <c r="C18" s="21">
        <f>C5+C16</f>
        <v>0</v>
      </c>
      <c r="D18" s="21">
        <f>MAX((D5+D16),0)</f>
        <v>18217.158212000002</v>
      </c>
      <c r="E18" s="21">
        <f>MAX((E5+E16),0)</f>
        <v>251.7198375418871</v>
      </c>
      <c r="F18" s="21">
        <f>MAX((F5+F16),0)</f>
        <v>1839.7505021037159</v>
      </c>
      <c r="G18" s="21"/>
      <c r="H18" s="21"/>
      <c r="I18" s="21"/>
      <c r="J18" s="21">
        <f>MAX((J5+J16),0)</f>
        <v>0</v>
      </c>
      <c r="K18" s="21"/>
      <c r="L18" s="21">
        <f>MAX((L5+L16),0)</f>
        <v>0</v>
      </c>
      <c r="M18" s="21"/>
      <c r="N18" s="21">
        <f>MAX((N5+N16),0)</f>
        <v>1477.3450934720718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0.19878949471438301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3841.4436599065943</v>
      </c>
      <c r="C22" s="23">
        <f ca="1">C18*C20</f>
        <v>0</v>
      </c>
      <c r="D22" s="23">
        <f>D18*D20</f>
        <v>3679.8659588240007</v>
      </c>
      <c r="E22" s="23">
        <f>E18*E20</f>
        <v>57.140403122008372</v>
      </c>
      <c r="F22" s="23">
        <f>F18*F20</f>
        <v>491.21338406169218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279.173</v>
      </c>
      <c r="C30" s="39">
        <f>IF(ISERROR(B30*3.6/1000000/'E Balans VL '!Z18*100),0,B30*3.6/1000000/'E Balans VL '!Z18*100)</f>
        <v>1.5821449756391819E-2</v>
      </c>
      <c r="D30" s="237" t="s">
        <v>754</v>
      </c>
    </row>
    <row r="31" spans="1:18">
      <c r="A31" s="6" t="s">
        <v>33</v>
      </c>
      <c r="B31" s="37">
        <f>IF( ISERROR(IND_ander_ele_kWh/1000),0,IND_ander_ele_kWh/1000)</f>
        <v>713.86040000000003</v>
      </c>
      <c r="C31" s="39">
        <f>IF(ISERROR(B31*3.6/1000000/'E Balans VL '!Z19*100),0,B31*3.6/1000000/'E Balans VL '!Z19*100)</f>
        <v>3.2377735281029212E-2</v>
      </c>
      <c r="D31" s="237" t="s">
        <v>754</v>
      </c>
    </row>
    <row r="32" spans="1:18">
      <c r="A32" s="171" t="s">
        <v>41</v>
      </c>
      <c r="B32" s="37">
        <f>IF( ISERROR(IND_voed_ele_kWh/1000),0,IND_voed_ele_kWh/1000)</f>
        <v>16343.784</v>
      </c>
      <c r="C32" s="39">
        <f>IF(ISERROR(B32*3.6/1000000/'E Balans VL '!Z20*100),0,B32*3.6/1000000/'E Balans VL '!Z20*100)</f>
        <v>0.50558743363470948</v>
      </c>
      <c r="D32" s="237" t="s">
        <v>754</v>
      </c>
    </row>
    <row r="33" spans="1:5">
      <c r="A33" s="171" t="s">
        <v>40</v>
      </c>
      <c r="B33" s="37">
        <f>IF( ISERROR(IND_textiel_ele_kWh/1000),0,IND_textiel_ele_kWh/1000)</f>
        <v>1987.3610000000001</v>
      </c>
      <c r="C33" s="39">
        <f>IF(ISERROR(B33*3.6/1000000/'E Balans VL '!Z21*100),0,B33*3.6/1000000/'E Balans VL '!Z21*100)</f>
        <v>0.25912978375762646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1112.7360000000001</v>
      </c>
      <c r="C5" s="17">
        <f>'Eigen informatie GS &amp; warmtenet'!B60</f>
        <v>0</v>
      </c>
      <c r="D5" s="30">
        <f>IF(ISERROR(SUM(LB_lb_gas_kWh,LB_rest_gas_kWh,onbekend_gas_kWh)/1000),0,SUM(LB_lb_gas_kWh,LB_rest_gas_kWh,onbekend_gas_kWh)/1000)*0.902</f>
        <v>360.07208600000001</v>
      </c>
      <c r="E5" s="17">
        <f>B17*'E Balans VL '!I25/3.6*1000000/100</f>
        <v>32.706709728025665</v>
      </c>
      <c r="F5" s="17">
        <f>B17*('E Balans VL '!L25/3.6*1000000+'E Balans VL '!N25/3.6*1000000)/100</f>
        <v>4635.5980469025953</v>
      </c>
      <c r="G5" s="18"/>
      <c r="H5" s="17"/>
      <c r="I5" s="17"/>
      <c r="J5" s="17">
        <f>('E Balans VL '!D25+'E Balans VL '!E25)/3.6*1000000*landbouw!B17/100</f>
        <v>161.21155012086197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1112.7360000000001</v>
      </c>
      <c r="C8" s="21">
        <f>C5+C6</f>
        <v>0</v>
      </c>
      <c r="D8" s="21">
        <f>MAX((D5+D6),0)</f>
        <v>360.07208600000001</v>
      </c>
      <c r="E8" s="21">
        <f>MAX((E5+E6),0)</f>
        <v>32.706709728025665</v>
      </c>
      <c r="F8" s="21">
        <f>MAX((F5+F6),0)</f>
        <v>4635.5980469025953</v>
      </c>
      <c r="G8" s="21"/>
      <c r="H8" s="21"/>
      <c r="I8" s="21"/>
      <c r="J8" s="21">
        <f>MAX((J5+J6),0)</f>
        <v>161.21155012086197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0.19878949471438301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221.20022719050371</v>
      </c>
      <c r="C12" s="23">
        <f ca="1">C8*C10</f>
        <v>0</v>
      </c>
      <c r="D12" s="23">
        <f>D8*D10</f>
        <v>72.734561372000002</v>
      </c>
      <c r="E12" s="23">
        <f>E8*E10</f>
        <v>7.4244231082618262</v>
      </c>
      <c r="F12" s="23">
        <f>F8*F10</f>
        <v>1237.7046785229929</v>
      </c>
      <c r="G12" s="23"/>
      <c r="H12" s="23"/>
      <c r="I12" s="23"/>
      <c r="J12" s="23">
        <f>J8*J10</f>
        <v>57.068888742785134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0.15790072950273221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159.93231179678847</v>
      </c>
      <c r="C26" s="247">
        <f>B26*'GWP N2O_CH4'!B5</f>
        <v>3358.578547732558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70.226893792799146</v>
      </c>
      <c r="C27" s="247">
        <f>B27*'GWP N2O_CH4'!B5</f>
        <v>1474.764769648782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1.9119066071945279</v>
      </c>
      <c r="C28" s="247">
        <f>B28*'GWP N2O_CH4'!B4</f>
        <v>592.69104823030364</v>
      </c>
      <c r="D28" s="50"/>
    </row>
    <row r="29" spans="1:4">
      <c r="A29" s="41" t="s">
        <v>277</v>
      </c>
      <c r="B29" s="247">
        <f>B34*'ha_N2O bodem landbouw'!B4</f>
        <v>5.5731153889997902</v>
      </c>
      <c r="C29" s="247">
        <f>B29*'GWP N2O_CH4'!B4</f>
        <v>1727.6657705899349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1.2717657259597112E-3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4.7126852190864285E-5</v>
      </c>
      <c r="C5" s="463" t="s">
        <v>211</v>
      </c>
      <c r="D5" s="448">
        <f>SUM(D6:D11)</f>
        <v>1.8307844332301571E-4</v>
      </c>
      <c r="E5" s="448">
        <f>SUM(E6:E11)</f>
        <v>2.4048633651762961E-4</v>
      </c>
      <c r="F5" s="461" t="s">
        <v>211</v>
      </c>
      <c r="G5" s="448">
        <f>SUM(G6:G11)</f>
        <v>9.0300508964148249E-2</v>
      </c>
      <c r="H5" s="448">
        <f>SUM(H6:H11)</f>
        <v>2.0522471341168809E-2</v>
      </c>
      <c r="I5" s="463" t="s">
        <v>211</v>
      </c>
      <c r="J5" s="463" t="s">
        <v>211</v>
      </c>
      <c r="K5" s="463" t="s">
        <v>211</v>
      </c>
      <c r="L5" s="463" t="s">
        <v>211</v>
      </c>
      <c r="M5" s="448">
        <f>SUM(M6:M11)</f>
        <v>5.8849511900345985E-3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2.9246681507383286E-5</v>
      </c>
      <c r="C6" s="449"/>
      <c r="D6" s="962">
        <f>vkm_2011_GW_PW*SUMIFS(TableVerdeelsleutelVkm[CNG],TableVerdeelsleutelVkm[Voertuigtype],"Lichte voertuigen")*SUMIFS(TableECFTransport[EnergieConsumptieFactor (PJ per km)],TableECFTransport[Index],CONCATENATE($A6,"_CNG_CNG"))</f>
        <v>8.772325845384196E-5</v>
      </c>
      <c r="E6" s="962">
        <f>vkm_2011_GW_PW*SUMIFS(TableVerdeelsleutelVkm[LPG],TableVerdeelsleutelVkm[Voertuigtype],"Lichte voertuigen")*SUMIFS(TableECFTransport[EnergieConsumptieFactor (PJ per km)],TableECFTransport[Index],CONCATENATE($A6,"_LPG_LPG"))</f>
        <v>1.1984257187302793E-4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3.0985795417483999E-2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9.9757661286410271E-3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2.1064097684556815E-3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2.0599736995315882E-2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6.2772831188979574E-6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1.2037802285670314E-3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1.7880170683480999E-5</v>
      </c>
      <c r="C8" s="449"/>
      <c r="D8" s="451">
        <f>vkm_2011_NGW_PW*SUMIFS(TableVerdeelsleutelVkm[CNG],TableVerdeelsleutelVkm[Voertuigtype],"Lichte voertuigen")*SUMIFS(TableECFTransport[EnergieConsumptieFactor (PJ per km)],TableECFTransport[Index],CONCATENATE($A8,"_CNG_CNG"))</f>
        <v>9.5355184869173746E-5</v>
      </c>
      <c r="E8" s="451">
        <f>vkm_2011_NGW_PW*SUMIFS(TableVerdeelsleutelVkm[LPG],TableVerdeelsleutelVkm[Voertuigtype],"Lichte voertuigen")*SUMIFS(TableECFTransport[EnergieConsumptieFactor (PJ per km)],TableECFTransport[Index],CONCATENATE($A8,"_LPG_LPG"))</f>
        <v>1.2064376464460168E-4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2.9068526253128009E-2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1.0537660618061471E-2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2.0110597783237301E-3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9.646450298220352E-3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2.7673113474126723E-6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5.6370141468815469E-4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13.09079227524008</v>
      </c>
      <c r="C14" s="21"/>
      <c r="D14" s="21">
        <f t="shared" ref="D14:M14" si="0">((D5)*10^9/3600)+D12</f>
        <v>50.855123145282143</v>
      </c>
      <c r="E14" s="21">
        <f t="shared" si="0"/>
        <v>66.801760143786012</v>
      </c>
      <c r="F14" s="21"/>
      <c r="G14" s="21">
        <f t="shared" si="0"/>
        <v>25083.474712263403</v>
      </c>
      <c r="H14" s="21">
        <f t="shared" si="0"/>
        <v>5700.6864836580025</v>
      </c>
      <c r="I14" s="21"/>
      <c r="J14" s="21"/>
      <c r="K14" s="21"/>
      <c r="L14" s="21"/>
      <c r="M14" s="21">
        <f t="shared" si="0"/>
        <v>1634.7086638984995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0.19878949471438301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2.6023119818059239</v>
      </c>
      <c r="C18" s="23"/>
      <c r="D18" s="23">
        <f t="shared" ref="D18:M18" si="1">D14*D16</f>
        <v>10.272734875346993</v>
      </c>
      <c r="E18" s="23">
        <f t="shared" si="1"/>
        <v>15.163999552639424</v>
      </c>
      <c r="F18" s="23"/>
      <c r="G18" s="23">
        <f t="shared" si="1"/>
        <v>6697.287748174329</v>
      </c>
      <c r="H18" s="23">
        <f t="shared" si="1"/>
        <v>1419.4709344308426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5.5092850732657442E-4</v>
      </c>
      <c r="H50" s="321">
        <f t="shared" si="2"/>
        <v>0</v>
      </c>
      <c r="I50" s="321">
        <f t="shared" si="2"/>
        <v>0</v>
      </c>
      <c r="J50" s="321">
        <f t="shared" si="2"/>
        <v>0</v>
      </c>
      <c r="K50" s="321">
        <f t="shared" si="2"/>
        <v>0</v>
      </c>
      <c r="L50" s="321">
        <f t="shared" si="2"/>
        <v>0</v>
      </c>
      <c r="M50" s="321">
        <f t="shared" si="2"/>
        <v>3.1290307100171397E-5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5.5092850732657442E-4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3.1290307100171397E-5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153.03569647960401</v>
      </c>
      <c r="H54" s="21">
        <f t="shared" si="3"/>
        <v>0</v>
      </c>
      <c r="I54" s="21">
        <f t="shared" si="3"/>
        <v>0</v>
      </c>
      <c r="J54" s="21">
        <f t="shared" si="3"/>
        <v>0</v>
      </c>
      <c r="K54" s="21">
        <f t="shared" si="3"/>
        <v>0</v>
      </c>
      <c r="L54" s="21">
        <f t="shared" si="3"/>
        <v>0</v>
      </c>
      <c r="M54" s="21">
        <f t="shared" si="3"/>
        <v>8.6917519722698326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0.19878949471438301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40.860530960054277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2137.1684910783119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1494</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3631.1684910783119</v>
      </c>
      <c r="C9" s="594">
        <f t="shared" ref="C9:L9" si="0">SUM(C7:C8)</f>
        <v>0</v>
      </c>
      <c r="D9" s="594">
        <f t="shared" si="0"/>
        <v>0</v>
      </c>
      <c r="E9" s="594">
        <f t="shared" si="0"/>
        <v>0</v>
      </c>
      <c r="F9" s="594">
        <f t="shared" si="0"/>
        <v>0</v>
      </c>
      <c r="G9" s="594">
        <f t="shared" si="0"/>
        <v>0</v>
      </c>
      <c r="H9" s="594">
        <f t="shared" si="0"/>
        <v>0</v>
      </c>
      <c r="I9" s="594">
        <f t="shared" si="0"/>
        <v>0</v>
      </c>
      <c r="J9" s="594">
        <f t="shared" si="0"/>
        <v>4268.5714285714284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34025</v>
      </c>
      <c r="C63" s="851">
        <v>8860</v>
      </c>
      <c r="D63" s="674" t="s">
        <v>809</v>
      </c>
      <c r="E63" s="674" t="s">
        <v>810</v>
      </c>
      <c r="F63" s="674" t="s">
        <v>811</v>
      </c>
      <c r="G63" s="674" t="s">
        <v>812</v>
      </c>
      <c r="H63" s="674" t="s">
        <v>813</v>
      </c>
      <c r="I63" s="674" t="s">
        <v>814</v>
      </c>
      <c r="J63" s="850">
        <v>38168</v>
      </c>
      <c r="K63" s="850">
        <v>38169</v>
      </c>
      <c r="L63" s="674" t="s">
        <v>815</v>
      </c>
      <c r="M63" s="674">
        <v>332</v>
      </c>
      <c r="N63" s="674">
        <v>1494</v>
      </c>
      <c r="O63" s="674">
        <v>0</v>
      </c>
      <c r="P63" s="674">
        <v>0</v>
      </c>
      <c r="Q63" s="674">
        <v>0</v>
      </c>
      <c r="R63" s="674">
        <v>4268.5714285714284</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332</v>
      </c>
      <c r="N88" s="629">
        <f t="shared" ref="N88:W88" si="5">SUM(N63:N87)</f>
        <v>1494</v>
      </c>
      <c r="O88" s="629">
        <f t="shared" si="5"/>
        <v>0</v>
      </c>
      <c r="P88" s="629">
        <f t="shared" si="5"/>
        <v>0</v>
      </c>
      <c r="Q88" s="629">
        <f t="shared" si="5"/>
        <v>0</v>
      </c>
      <c r="R88" s="629">
        <f t="shared" si="5"/>
        <v>4268.5714285714284</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332</v>
      </c>
      <c r="N90" s="629">
        <f t="shared" ref="N90:W90" si="7">SUMIF($Z$63:$Z$88,"tertiair",N63:N88)</f>
        <v>1494</v>
      </c>
      <c r="O90" s="629">
        <f t="shared" si="7"/>
        <v>0</v>
      </c>
      <c r="P90" s="629">
        <f t="shared" si="7"/>
        <v>0</v>
      </c>
      <c r="Q90" s="629">
        <f t="shared" si="7"/>
        <v>0</v>
      </c>
      <c r="R90" s="629">
        <f t="shared" si="7"/>
        <v>4268.5714285714284</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6213.9535500000002</v>
      </c>
      <c r="D10" s="718">
        <f ca="1">tertiair!C16</f>
        <v>0</v>
      </c>
      <c r="E10" s="718">
        <f ca="1">tertiair!D16</f>
        <v>5030.4973861999997</v>
      </c>
      <c r="F10" s="718">
        <f>tertiair!E16</f>
        <v>90.476685011070259</v>
      </c>
      <c r="G10" s="718">
        <f ca="1">tertiair!F16</f>
        <v>776.96945812040121</v>
      </c>
      <c r="H10" s="718">
        <f>tertiair!G16</f>
        <v>0</v>
      </c>
      <c r="I10" s="718">
        <f>tertiair!H16</f>
        <v>0</v>
      </c>
      <c r="J10" s="718">
        <f>tertiair!I16</f>
        <v>0</v>
      </c>
      <c r="K10" s="718">
        <f>tertiair!J16</f>
        <v>5.8008847906857184E-3</v>
      </c>
      <c r="L10" s="718">
        <f>tertiair!K16</f>
        <v>0</v>
      </c>
      <c r="M10" s="718">
        <f ca="1">tertiair!L16</f>
        <v>0</v>
      </c>
      <c r="N10" s="718">
        <f>tertiair!M16</f>
        <v>0</v>
      </c>
      <c r="O10" s="718">
        <f ca="1">tertiair!N16</f>
        <v>0</v>
      </c>
      <c r="P10" s="718">
        <f>tertiair!O16</f>
        <v>1.5633333333333335</v>
      </c>
      <c r="Q10" s="719">
        <f>tertiair!P16</f>
        <v>19.066666666666666</v>
      </c>
      <c r="R10" s="721">
        <f ca="1">SUM(C10:Q10)</f>
        <v>12132.53288021626</v>
      </c>
      <c r="S10" s="67"/>
    </row>
    <row r="11" spans="1:19" s="474" customFormat="1">
      <c r="A11" s="870" t="s">
        <v>225</v>
      </c>
      <c r="B11" s="875"/>
      <c r="C11" s="718">
        <f>huishoudens!B8</f>
        <v>9467.0624212990679</v>
      </c>
      <c r="D11" s="718">
        <f>huishoudens!C8</f>
        <v>0</v>
      </c>
      <c r="E11" s="718">
        <f>huishoudens!D8</f>
        <v>21486.140610000002</v>
      </c>
      <c r="F11" s="718">
        <f>huishoudens!E8</f>
        <v>1307.1354904261236</v>
      </c>
      <c r="G11" s="718">
        <f>huishoudens!F8</f>
        <v>2187.5602212062213</v>
      </c>
      <c r="H11" s="718">
        <f>huishoudens!G8</f>
        <v>0</v>
      </c>
      <c r="I11" s="718">
        <f>huishoudens!H8</f>
        <v>0</v>
      </c>
      <c r="J11" s="718">
        <f>huishoudens!I8</f>
        <v>0</v>
      </c>
      <c r="K11" s="718">
        <f>huishoudens!J8</f>
        <v>652.31604889953337</v>
      </c>
      <c r="L11" s="718">
        <f>huishoudens!K8</f>
        <v>0</v>
      </c>
      <c r="M11" s="718">
        <f>huishoudens!L8</f>
        <v>0</v>
      </c>
      <c r="N11" s="718">
        <f>huishoudens!M8</f>
        <v>0</v>
      </c>
      <c r="O11" s="718">
        <f>huishoudens!N8</f>
        <v>9265.6653261271367</v>
      </c>
      <c r="P11" s="718">
        <f>huishoudens!O8</f>
        <v>125.06666666666666</v>
      </c>
      <c r="Q11" s="719">
        <f>huishoudens!P8</f>
        <v>76.266666666666666</v>
      </c>
      <c r="R11" s="721">
        <f>SUM(C11:Q11)</f>
        <v>44567.21345129142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19324.178400000001</v>
      </c>
      <c r="D13" s="718">
        <f>industrie!C18</f>
        <v>0</v>
      </c>
      <c r="E13" s="718">
        <f>industrie!D18</f>
        <v>18217.158212000002</v>
      </c>
      <c r="F13" s="718">
        <f>industrie!E18</f>
        <v>251.7198375418871</v>
      </c>
      <c r="G13" s="718">
        <f>industrie!F18</f>
        <v>1839.7505021037159</v>
      </c>
      <c r="H13" s="718">
        <f>industrie!G18</f>
        <v>0</v>
      </c>
      <c r="I13" s="718">
        <f>industrie!H18</f>
        <v>0</v>
      </c>
      <c r="J13" s="718">
        <f>industrie!I18</f>
        <v>0</v>
      </c>
      <c r="K13" s="718">
        <f>industrie!J18</f>
        <v>0</v>
      </c>
      <c r="L13" s="718">
        <f>industrie!K18</f>
        <v>0</v>
      </c>
      <c r="M13" s="718">
        <f>industrie!L18</f>
        <v>0</v>
      </c>
      <c r="N13" s="718">
        <f>industrie!M18</f>
        <v>0</v>
      </c>
      <c r="O13" s="718">
        <f>industrie!N18</f>
        <v>1477.3450934720718</v>
      </c>
      <c r="P13" s="718">
        <f>industrie!O18</f>
        <v>0</v>
      </c>
      <c r="Q13" s="719">
        <f>industrie!P18</f>
        <v>0</v>
      </c>
      <c r="R13" s="721">
        <f>SUM(C13:Q13)</f>
        <v>41110.152045117677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35005.194371299069</v>
      </c>
      <c r="D15" s="723">
        <f t="shared" ref="D15:Q15" ca="1" si="0">SUM(D9:D14)</f>
        <v>0</v>
      </c>
      <c r="E15" s="723">
        <f t="shared" ca="1" si="0"/>
        <v>44733.796208200001</v>
      </c>
      <c r="F15" s="723">
        <f t="shared" si="0"/>
        <v>1649.3320129790809</v>
      </c>
      <c r="G15" s="723">
        <f t="shared" ca="1" si="0"/>
        <v>4804.2801814303384</v>
      </c>
      <c r="H15" s="723">
        <f t="shared" si="0"/>
        <v>0</v>
      </c>
      <c r="I15" s="723">
        <f t="shared" si="0"/>
        <v>0</v>
      </c>
      <c r="J15" s="723">
        <f t="shared" si="0"/>
        <v>0</v>
      </c>
      <c r="K15" s="723">
        <f t="shared" si="0"/>
        <v>652.32184978432406</v>
      </c>
      <c r="L15" s="723">
        <f t="shared" si="0"/>
        <v>0</v>
      </c>
      <c r="M15" s="723">
        <f t="shared" ca="1" si="0"/>
        <v>0</v>
      </c>
      <c r="N15" s="723">
        <f t="shared" si="0"/>
        <v>0</v>
      </c>
      <c r="O15" s="723">
        <f t="shared" ca="1" si="0"/>
        <v>10743.010419599208</v>
      </c>
      <c r="P15" s="723">
        <f t="shared" si="0"/>
        <v>126.63</v>
      </c>
      <c r="Q15" s="724">
        <f t="shared" si="0"/>
        <v>95.333333333333329</v>
      </c>
      <c r="R15" s="725">
        <f ca="1">SUM(R9:R14)</f>
        <v>97809.898376625351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153.03569647960401</v>
      </c>
      <c r="I18" s="718">
        <f>transport!H54</f>
        <v>0</v>
      </c>
      <c r="J18" s="718">
        <f>transport!I54</f>
        <v>0</v>
      </c>
      <c r="K18" s="718">
        <f>transport!J54</f>
        <v>0</v>
      </c>
      <c r="L18" s="718">
        <f>transport!K54</f>
        <v>0</v>
      </c>
      <c r="M18" s="718">
        <f>transport!L54</f>
        <v>0</v>
      </c>
      <c r="N18" s="718">
        <f>transport!M54</f>
        <v>8.6917519722698326</v>
      </c>
      <c r="O18" s="718">
        <f>transport!N54</f>
        <v>0</v>
      </c>
      <c r="P18" s="718">
        <f>transport!O54</f>
        <v>0</v>
      </c>
      <c r="Q18" s="719">
        <f>transport!P54</f>
        <v>0</v>
      </c>
      <c r="R18" s="721">
        <f>SUM(C18:Q18)</f>
        <v>161.72744845187384</v>
      </c>
      <c r="S18" s="67"/>
    </row>
    <row r="19" spans="1:19" s="474" customFormat="1" ht="15" thickBot="1">
      <c r="A19" s="870" t="s">
        <v>307</v>
      </c>
      <c r="B19" s="875"/>
      <c r="C19" s="727">
        <f>transport!B14</f>
        <v>13.09079227524008</v>
      </c>
      <c r="D19" s="727">
        <f>transport!C14</f>
        <v>0</v>
      </c>
      <c r="E19" s="727">
        <f>transport!D14</f>
        <v>50.855123145282143</v>
      </c>
      <c r="F19" s="727">
        <f>transport!E14</f>
        <v>66.801760143786012</v>
      </c>
      <c r="G19" s="727">
        <f>transport!F14</f>
        <v>0</v>
      </c>
      <c r="H19" s="727">
        <f>transport!G14</f>
        <v>25083.474712263403</v>
      </c>
      <c r="I19" s="727">
        <f>transport!H14</f>
        <v>5700.6864836580025</v>
      </c>
      <c r="J19" s="727">
        <f>transport!I14</f>
        <v>0</v>
      </c>
      <c r="K19" s="727">
        <f>transport!J14</f>
        <v>0</v>
      </c>
      <c r="L19" s="727">
        <f>transport!K14</f>
        <v>0</v>
      </c>
      <c r="M19" s="727">
        <f>transport!L14</f>
        <v>0</v>
      </c>
      <c r="N19" s="727">
        <f>transport!M14</f>
        <v>1634.7086638984995</v>
      </c>
      <c r="O19" s="727">
        <f>transport!N14</f>
        <v>0</v>
      </c>
      <c r="P19" s="727">
        <f>transport!O14</f>
        <v>0</v>
      </c>
      <c r="Q19" s="728">
        <f>transport!P14</f>
        <v>0</v>
      </c>
      <c r="R19" s="729">
        <f>SUM(C19:Q19)</f>
        <v>32549.617535384212</v>
      </c>
      <c r="S19" s="67"/>
    </row>
    <row r="20" spans="1:19" s="474" customFormat="1" ht="15.75" thickBot="1">
      <c r="A20" s="730" t="s">
        <v>230</v>
      </c>
      <c r="B20" s="878"/>
      <c r="C20" s="873">
        <f>SUM(C17:C19)</f>
        <v>13.09079227524008</v>
      </c>
      <c r="D20" s="731">
        <f t="shared" ref="D20:R20" si="1">SUM(D17:D19)</f>
        <v>0</v>
      </c>
      <c r="E20" s="731">
        <f t="shared" si="1"/>
        <v>50.855123145282143</v>
      </c>
      <c r="F20" s="731">
        <f t="shared" si="1"/>
        <v>66.801760143786012</v>
      </c>
      <c r="G20" s="731">
        <f t="shared" si="1"/>
        <v>0</v>
      </c>
      <c r="H20" s="731">
        <f t="shared" si="1"/>
        <v>25236.510408743008</v>
      </c>
      <c r="I20" s="731">
        <f t="shared" si="1"/>
        <v>5700.6864836580025</v>
      </c>
      <c r="J20" s="731">
        <f t="shared" si="1"/>
        <v>0</v>
      </c>
      <c r="K20" s="731">
        <f t="shared" si="1"/>
        <v>0</v>
      </c>
      <c r="L20" s="731">
        <f t="shared" si="1"/>
        <v>0</v>
      </c>
      <c r="M20" s="731">
        <f t="shared" si="1"/>
        <v>0</v>
      </c>
      <c r="N20" s="731">
        <f t="shared" si="1"/>
        <v>1643.4004158707694</v>
      </c>
      <c r="O20" s="731">
        <f t="shared" si="1"/>
        <v>0</v>
      </c>
      <c r="P20" s="731">
        <f t="shared" si="1"/>
        <v>0</v>
      </c>
      <c r="Q20" s="732">
        <f t="shared" si="1"/>
        <v>0</v>
      </c>
      <c r="R20" s="733">
        <f t="shared" si="1"/>
        <v>32711.344983836087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1112.7360000000001</v>
      </c>
      <c r="D22" s="727">
        <f>+landbouw!C8</f>
        <v>0</v>
      </c>
      <c r="E22" s="727">
        <f>+landbouw!D8</f>
        <v>360.07208600000001</v>
      </c>
      <c r="F22" s="727">
        <f>+landbouw!E8</f>
        <v>32.706709728025665</v>
      </c>
      <c r="G22" s="727">
        <f>+landbouw!F8</f>
        <v>4635.5980469025953</v>
      </c>
      <c r="H22" s="727">
        <f>+landbouw!G8</f>
        <v>0</v>
      </c>
      <c r="I22" s="727">
        <f>+landbouw!H8</f>
        <v>0</v>
      </c>
      <c r="J22" s="727">
        <f>+landbouw!I8</f>
        <v>0</v>
      </c>
      <c r="K22" s="727">
        <f>+landbouw!J8</f>
        <v>161.21155012086197</v>
      </c>
      <c r="L22" s="727">
        <f>+landbouw!K8</f>
        <v>0</v>
      </c>
      <c r="M22" s="727">
        <f>+landbouw!L8</f>
        <v>0</v>
      </c>
      <c r="N22" s="727">
        <f>+landbouw!M8</f>
        <v>0</v>
      </c>
      <c r="O22" s="727">
        <f>+landbouw!N8</f>
        <v>0</v>
      </c>
      <c r="P22" s="727">
        <f>+landbouw!O8</f>
        <v>0</v>
      </c>
      <c r="Q22" s="728">
        <f>+landbouw!P8</f>
        <v>0</v>
      </c>
      <c r="R22" s="729">
        <f>SUM(C22:Q22)</f>
        <v>6302.3243927514832</v>
      </c>
      <c r="S22" s="67"/>
    </row>
    <row r="23" spans="1:19" s="474" customFormat="1" ht="17.25" thickTop="1" thickBot="1">
      <c r="A23" s="734" t="s">
        <v>116</v>
      </c>
      <c r="B23" s="864"/>
      <c r="C23" s="735">
        <f ca="1">C20+C15+C22</f>
        <v>36131.021163574304</v>
      </c>
      <c r="D23" s="735">
        <f t="shared" ref="D23:Q23" ca="1" si="2">D20+D15+D22</f>
        <v>0</v>
      </c>
      <c r="E23" s="735">
        <f t="shared" ca="1" si="2"/>
        <v>45144.723417345282</v>
      </c>
      <c r="F23" s="735">
        <f t="shared" si="2"/>
        <v>1748.8404828508926</v>
      </c>
      <c r="G23" s="735">
        <f t="shared" ca="1" si="2"/>
        <v>9439.8782283329347</v>
      </c>
      <c r="H23" s="735">
        <f t="shared" si="2"/>
        <v>25236.510408743008</v>
      </c>
      <c r="I23" s="735">
        <f t="shared" si="2"/>
        <v>5700.6864836580025</v>
      </c>
      <c r="J23" s="735">
        <f t="shared" si="2"/>
        <v>0</v>
      </c>
      <c r="K23" s="735">
        <f t="shared" si="2"/>
        <v>813.533399905186</v>
      </c>
      <c r="L23" s="735">
        <f t="shared" si="2"/>
        <v>0</v>
      </c>
      <c r="M23" s="735">
        <f t="shared" ca="1" si="2"/>
        <v>0</v>
      </c>
      <c r="N23" s="735">
        <f t="shared" si="2"/>
        <v>1643.4004158707694</v>
      </c>
      <c r="O23" s="735">
        <f t="shared" ca="1" si="2"/>
        <v>10743.010419599208</v>
      </c>
      <c r="P23" s="735">
        <f t="shared" si="2"/>
        <v>126.63</v>
      </c>
      <c r="Q23" s="736">
        <f t="shared" si="2"/>
        <v>95.333333333333329</v>
      </c>
      <c r="R23" s="737">
        <f ca="1">R20+R15+R22</f>
        <v>136823.5677532129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1235.2686863831466</v>
      </c>
      <c r="D36" s="718">
        <f ca="1">tertiair!C20</f>
        <v>0</v>
      </c>
      <c r="E36" s="718">
        <f ca="1">tertiair!D20</f>
        <v>1016.1604720124</v>
      </c>
      <c r="F36" s="718">
        <f>tertiair!E20</f>
        <v>20.53820749751295</v>
      </c>
      <c r="G36" s="718">
        <f ca="1">tertiair!F20</f>
        <v>207.45084531814715</v>
      </c>
      <c r="H36" s="718">
        <f>tertiair!G20</f>
        <v>0</v>
      </c>
      <c r="I36" s="718">
        <f>tertiair!H20</f>
        <v>0</v>
      </c>
      <c r="J36" s="718">
        <f>tertiair!I20</f>
        <v>0</v>
      </c>
      <c r="K36" s="718">
        <f>tertiair!J20</f>
        <v>2.0535132159027443E-3</v>
      </c>
      <c r="L36" s="718">
        <f>tertiair!K20</f>
        <v>0</v>
      </c>
      <c r="M36" s="718">
        <f ca="1">tertiair!L20</f>
        <v>0</v>
      </c>
      <c r="N36" s="718">
        <f>tertiair!M20</f>
        <v>0</v>
      </c>
      <c r="O36" s="718">
        <f ca="1">tertiair!N20</f>
        <v>0</v>
      </c>
      <c r="P36" s="718">
        <f>tertiair!O20</f>
        <v>0</v>
      </c>
      <c r="Q36" s="828">
        <f>tertiair!P20</f>
        <v>0</v>
      </c>
      <c r="R36" s="917">
        <f ca="1">SUM(C36:Q36)</f>
        <v>2479.4202647244219</v>
      </c>
    </row>
    <row r="37" spans="1:18">
      <c r="A37" s="885" t="s">
        <v>225</v>
      </c>
      <c r="B37" s="892"/>
      <c r="C37" s="718">
        <f ca="1">huishoudens!B12</f>
        <v>1881.952555159565</v>
      </c>
      <c r="D37" s="718">
        <f ca="1">huishoudens!C12</f>
        <v>0</v>
      </c>
      <c r="E37" s="718">
        <f>huishoudens!D12</f>
        <v>4340.2004032200011</v>
      </c>
      <c r="F37" s="718">
        <f>huishoudens!E12</f>
        <v>296.71975632673008</v>
      </c>
      <c r="G37" s="718">
        <f>huishoudens!F12</f>
        <v>584.07857906206107</v>
      </c>
      <c r="H37" s="718">
        <f>huishoudens!G12</f>
        <v>0</v>
      </c>
      <c r="I37" s="718">
        <f>huishoudens!H12</f>
        <v>0</v>
      </c>
      <c r="J37" s="718">
        <f>huishoudens!I12</f>
        <v>0</v>
      </c>
      <c r="K37" s="718">
        <f>huishoudens!J12</f>
        <v>230.91988131043479</v>
      </c>
      <c r="L37" s="718">
        <f>huishoudens!K12</f>
        <v>0</v>
      </c>
      <c r="M37" s="718">
        <f>huishoudens!L12</f>
        <v>0</v>
      </c>
      <c r="N37" s="718">
        <f>huishoudens!M12</f>
        <v>0</v>
      </c>
      <c r="O37" s="718">
        <f>huishoudens!N12</f>
        <v>0</v>
      </c>
      <c r="P37" s="718">
        <f>huishoudens!O12</f>
        <v>0</v>
      </c>
      <c r="Q37" s="828">
        <f>huishoudens!P12</f>
        <v>0</v>
      </c>
      <c r="R37" s="917">
        <f ca="1">SUM(C37:Q37)</f>
        <v>7333.8711750787925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3841.4436599065943</v>
      </c>
      <c r="D39" s="718">
        <f ca="1">industrie!C22</f>
        <v>0</v>
      </c>
      <c r="E39" s="718">
        <f>industrie!D22</f>
        <v>3679.8659588240007</v>
      </c>
      <c r="F39" s="718">
        <f>industrie!E22</f>
        <v>57.140403122008372</v>
      </c>
      <c r="G39" s="718">
        <f>industrie!F22</f>
        <v>491.21338406169218</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8069.6634059142953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6958.6649014493059</v>
      </c>
      <c r="D41" s="763">
        <f t="shared" ref="D41:R41" ca="1" si="4">SUM(D35:D40)</f>
        <v>0</v>
      </c>
      <c r="E41" s="763">
        <f t="shared" ca="1" si="4"/>
        <v>9036.2268340564005</v>
      </c>
      <c r="F41" s="763">
        <f t="shared" si="4"/>
        <v>374.39836694625137</v>
      </c>
      <c r="G41" s="763">
        <f t="shared" ca="1" si="4"/>
        <v>1282.7428084419003</v>
      </c>
      <c r="H41" s="763">
        <f t="shared" si="4"/>
        <v>0</v>
      </c>
      <c r="I41" s="763">
        <f t="shared" si="4"/>
        <v>0</v>
      </c>
      <c r="J41" s="763">
        <f t="shared" si="4"/>
        <v>0</v>
      </c>
      <c r="K41" s="763">
        <f t="shared" si="4"/>
        <v>230.9219348236507</v>
      </c>
      <c r="L41" s="763">
        <f t="shared" si="4"/>
        <v>0</v>
      </c>
      <c r="M41" s="763">
        <f t="shared" ca="1" si="4"/>
        <v>0</v>
      </c>
      <c r="N41" s="763">
        <f t="shared" si="4"/>
        <v>0</v>
      </c>
      <c r="O41" s="763">
        <f t="shared" ca="1" si="4"/>
        <v>0</v>
      </c>
      <c r="P41" s="763">
        <f t="shared" si="4"/>
        <v>0</v>
      </c>
      <c r="Q41" s="764">
        <f t="shared" si="4"/>
        <v>0</v>
      </c>
      <c r="R41" s="765">
        <f t="shared" ca="1" si="4"/>
        <v>17882.954845717511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40.860530960054277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40.860530960054277</v>
      </c>
    </row>
    <row r="45" spans="1:18" ht="15" thickBot="1">
      <c r="A45" s="888" t="s">
        <v>307</v>
      </c>
      <c r="B45" s="898"/>
      <c r="C45" s="727">
        <f ca="1">transport!B18</f>
        <v>2.6023119818059239</v>
      </c>
      <c r="D45" s="727">
        <f>transport!C18</f>
        <v>0</v>
      </c>
      <c r="E45" s="727">
        <f>transport!D18</f>
        <v>10.272734875346993</v>
      </c>
      <c r="F45" s="727">
        <f>transport!E18</f>
        <v>15.163999552639424</v>
      </c>
      <c r="G45" s="727">
        <f>transport!F18</f>
        <v>0</v>
      </c>
      <c r="H45" s="727">
        <f>transport!G18</f>
        <v>6697.287748174329</v>
      </c>
      <c r="I45" s="727">
        <f>transport!H18</f>
        <v>1419.4709344308426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8144.7977290149647</v>
      </c>
    </row>
    <row r="46" spans="1:18" ht="15.75" thickBot="1">
      <c r="A46" s="886" t="s">
        <v>230</v>
      </c>
      <c r="B46" s="899"/>
      <c r="C46" s="763">
        <f t="shared" ref="C46:R46" ca="1" si="5">SUM(C43:C45)</f>
        <v>2.6023119818059239</v>
      </c>
      <c r="D46" s="763">
        <f t="shared" ca="1" si="5"/>
        <v>0</v>
      </c>
      <c r="E46" s="763">
        <f t="shared" si="5"/>
        <v>10.272734875346993</v>
      </c>
      <c r="F46" s="763">
        <f t="shared" si="5"/>
        <v>15.163999552639424</v>
      </c>
      <c r="G46" s="763">
        <f t="shared" si="5"/>
        <v>0</v>
      </c>
      <c r="H46" s="763">
        <f t="shared" si="5"/>
        <v>6738.1482791343833</v>
      </c>
      <c r="I46" s="763">
        <f t="shared" si="5"/>
        <v>1419.4709344308426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8185.6582599750191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221.20022719050371</v>
      </c>
      <c r="D48" s="718">
        <f ca="1">+landbouw!C12</f>
        <v>0</v>
      </c>
      <c r="E48" s="718">
        <f>+landbouw!D12</f>
        <v>72.734561372000002</v>
      </c>
      <c r="F48" s="718">
        <f>+landbouw!E12</f>
        <v>7.4244231082618262</v>
      </c>
      <c r="G48" s="718">
        <f>+landbouw!F12</f>
        <v>1237.7046785229929</v>
      </c>
      <c r="H48" s="718">
        <f>+landbouw!G12</f>
        <v>0</v>
      </c>
      <c r="I48" s="718">
        <f>+landbouw!H12</f>
        <v>0</v>
      </c>
      <c r="J48" s="718">
        <f>+landbouw!I12</f>
        <v>0</v>
      </c>
      <c r="K48" s="718">
        <f>+landbouw!J12</f>
        <v>57.068888742785134</v>
      </c>
      <c r="L48" s="718">
        <f>+landbouw!K12</f>
        <v>0</v>
      </c>
      <c r="M48" s="718">
        <f>+landbouw!L12</f>
        <v>0</v>
      </c>
      <c r="N48" s="718">
        <f>+landbouw!M12</f>
        <v>0</v>
      </c>
      <c r="O48" s="718">
        <f>+landbouw!N12</f>
        <v>0</v>
      </c>
      <c r="P48" s="718">
        <f>+landbouw!O12</f>
        <v>0</v>
      </c>
      <c r="Q48" s="719">
        <f>+landbouw!P12</f>
        <v>0</v>
      </c>
      <c r="R48" s="761">
        <f ca="1">SUM(C48:Q48)</f>
        <v>1596.1327789365437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7182.4674406216154</v>
      </c>
      <c r="D53" s="773">
        <f t="shared" ref="D53:Q53" ca="1" si="6">D41+D46+D48</f>
        <v>0</v>
      </c>
      <c r="E53" s="773">
        <f t="shared" ca="1" si="6"/>
        <v>9119.2341303037483</v>
      </c>
      <c r="F53" s="773">
        <f t="shared" si="6"/>
        <v>396.98678960715262</v>
      </c>
      <c r="G53" s="773">
        <f t="shared" ca="1" si="6"/>
        <v>2520.447486964893</v>
      </c>
      <c r="H53" s="773">
        <f t="shared" si="6"/>
        <v>6738.1482791343833</v>
      </c>
      <c r="I53" s="773">
        <f t="shared" si="6"/>
        <v>1419.4709344308426</v>
      </c>
      <c r="J53" s="773">
        <f t="shared" si="6"/>
        <v>0</v>
      </c>
      <c r="K53" s="773">
        <f t="shared" si="6"/>
        <v>287.99082356643584</v>
      </c>
      <c r="L53" s="773">
        <f t="shared" si="6"/>
        <v>0</v>
      </c>
      <c r="M53" s="773">
        <f t="shared" ca="1" si="6"/>
        <v>0</v>
      </c>
      <c r="N53" s="773">
        <f t="shared" si="6"/>
        <v>0</v>
      </c>
      <c r="O53" s="773">
        <f t="shared" ca="1" si="6"/>
        <v>0</v>
      </c>
      <c r="P53" s="773">
        <f>P41+P46+P48</f>
        <v>0</v>
      </c>
      <c r="Q53" s="774">
        <f t="shared" si="6"/>
        <v>0</v>
      </c>
      <c r="R53" s="775">
        <f ca="1">R41+R46+R48</f>
        <v>27664.745884629072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0.19878949471438304</v>
      </c>
      <c r="D55" s="836">
        <f t="shared" ca="1" si="7"/>
        <v>0</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2137.1684910783119</v>
      </c>
      <c r="C66" s="795">
        <f>'lokale energieproductie'!B6</f>
        <v>2137.1684910783119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1494</v>
      </c>
      <c r="C68" s="794">
        <f>B68*IFERROR(SUM(J68:L68)/SUM(D68:M68),0)</f>
        <v>1494</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4268.5714285714284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3631.1684910783119</v>
      </c>
      <c r="C69" s="803">
        <f>SUM(C64:C68)</f>
        <v>3631.1684910783119</v>
      </c>
      <c r="D69" s="804">
        <f t="shared" ref="D69:M69" si="8">SUM(D67:D68)</f>
        <v>0</v>
      </c>
      <c r="E69" s="804">
        <f t="shared" si="8"/>
        <v>0</v>
      </c>
      <c r="F69" s="804">
        <f t="shared" si="8"/>
        <v>0</v>
      </c>
      <c r="G69" s="804">
        <f t="shared" si="8"/>
        <v>0</v>
      </c>
      <c r="H69" s="804">
        <f t="shared" si="8"/>
        <v>0</v>
      </c>
      <c r="I69" s="804">
        <f t="shared" si="8"/>
        <v>0</v>
      </c>
      <c r="J69" s="804">
        <f t="shared" si="8"/>
        <v>0</v>
      </c>
      <c r="K69" s="804">
        <f t="shared" si="8"/>
        <v>4268.5714285714284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9467.0624212990679</v>
      </c>
      <c r="C4" s="478">
        <f>huishoudens!C8</f>
        <v>0</v>
      </c>
      <c r="D4" s="478">
        <f>huishoudens!D8</f>
        <v>21486.140610000002</v>
      </c>
      <c r="E4" s="478">
        <f>huishoudens!E8</f>
        <v>1307.1354904261236</v>
      </c>
      <c r="F4" s="478">
        <f>huishoudens!F8</f>
        <v>2187.5602212062213</v>
      </c>
      <c r="G4" s="478">
        <f>huishoudens!G8</f>
        <v>0</v>
      </c>
      <c r="H4" s="478">
        <f>huishoudens!H8</f>
        <v>0</v>
      </c>
      <c r="I4" s="478">
        <f>huishoudens!I8</f>
        <v>0</v>
      </c>
      <c r="J4" s="478">
        <f>huishoudens!J8</f>
        <v>652.31604889953337</v>
      </c>
      <c r="K4" s="478">
        <f>huishoudens!K8</f>
        <v>0</v>
      </c>
      <c r="L4" s="478">
        <f>huishoudens!L8</f>
        <v>0</v>
      </c>
      <c r="M4" s="478">
        <f>huishoudens!M8</f>
        <v>0</v>
      </c>
      <c r="N4" s="478">
        <f>huishoudens!N8</f>
        <v>9265.6653261271367</v>
      </c>
      <c r="O4" s="478">
        <f>huishoudens!O8</f>
        <v>125.06666666666666</v>
      </c>
      <c r="P4" s="479">
        <f>huishoudens!P8</f>
        <v>76.266666666666666</v>
      </c>
      <c r="Q4" s="480">
        <f>SUM(B4:P4)</f>
        <v>44567.21345129142</v>
      </c>
    </row>
    <row r="5" spans="1:17">
      <c r="A5" s="477" t="s">
        <v>156</v>
      </c>
      <c r="B5" s="478">
        <f ca="1">tertiair!B16</f>
        <v>5822.5315500000006</v>
      </c>
      <c r="C5" s="478">
        <f ca="1">tertiair!C16</f>
        <v>0</v>
      </c>
      <c r="D5" s="478">
        <f ca="1">tertiair!D16</f>
        <v>5030.4973861999997</v>
      </c>
      <c r="E5" s="478">
        <f>tertiair!E16</f>
        <v>90.476685011070259</v>
      </c>
      <c r="F5" s="478">
        <f ca="1">tertiair!F16</f>
        <v>776.96945812040121</v>
      </c>
      <c r="G5" s="478">
        <f>tertiair!G16</f>
        <v>0</v>
      </c>
      <c r="H5" s="478">
        <f>tertiair!H16</f>
        <v>0</v>
      </c>
      <c r="I5" s="478">
        <f>tertiair!I16</f>
        <v>0</v>
      </c>
      <c r="J5" s="478">
        <f>tertiair!J16</f>
        <v>5.8008847906857184E-3</v>
      </c>
      <c r="K5" s="478">
        <f>tertiair!K16</f>
        <v>0</v>
      </c>
      <c r="L5" s="478">
        <f ca="1">tertiair!L16</f>
        <v>0</v>
      </c>
      <c r="M5" s="478">
        <f>tertiair!M16</f>
        <v>0</v>
      </c>
      <c r="N5" s="478">
        <f ca="1">tertiair!N16</f>
        <v>0</v>
      </c>
      <c r="O5" s="478">
        <f>tertiair!O16</f>
        <v>1.5633333333333335</v>
      </c>
      <c r="P5" s="479">
        <f>tertiair!P16</f>
        <v>19.066666666666666</v>
      </c>
      <c r="Q5" s="477">
        <f t="shared" ref="Q5:Q13" ca="1" si="0">SUM(B5:P5)</f>
        <v>11741.110880216262</v>
      </c>
    </row>
    <row r="6" spans="1:17">
      <c r="A6" s="477" t="s">
        <v>194</v>
      </c>
      <c r="B6" s="478">
        <f>'openbare verlichting'!B8</f>
        <v>391.42200000000003</v>
      </c>
      <c r="C6" s="478"/>
      <c r="D6" s="478"/>
      <c r="E6" s="478"/>
      <c r="F6" s="478"/>
      <c r="G6" s="478"/>
      <c r="H6" s="478"/>
      <c r="I6" s="478"/>
      <c r="J6" s="478"/>
      <c r="K6" s="478"/>
      <c r="L6" s="478"/>
      <c r="M6" s="478"/>
      <c r="N6" s="478"/>
      <c r="O6" s="478"/>
      <c r="P6" s="479"/>
      <c r="Q6" s="477">
        <f t="shared" si="0"/>
        <v>391.42200000000003</v>
      </c>
    </row>
    <row r="7" spans="1:17">
      <c r="A7" s="477" t="s">
        <v>112</v>
      </c>
      <c r="B7" s="478">
        <f>landbouw!B8</f>
        <v>1112.7360000000001</v>
      </c>
      <c r="C7" s="478">
        <f>landbouw!C8</f>
        <v>0</v>
      </c>
      <c r="D7" s="478">
        <f>landbouw!D8</f>
        <v>360.07208600000001</v>
      </c>
      <c r="E7" s="478">
        <f>landbouw!E8</f>
        <v>32.706709728025665</v>
      </c>
      <c r="F7" s="478">
        <f>landbouw!F8</f>
        <v>4635.5980469025953</v>
      </c>
      <c r="G7" s="478">
        <f>landbouw!G8</f>
        <v>0</v>
      </c>
      <c r="H7" s="478">
        <f>landbouw!H8</f>
        <v>0</v>
      </c>
      <c r="I7" s="478">
        <f>landbouw!I8</f>
        <v>0</v>
      </c>
      <c r="J7" s="478">
        <f>landbouw!J8</f>
        <v>161.21155012086197</v>
      </c>
      <c r="K7" s="478">
        <f>landbouw!K8</f>
        <v>0</v>
      </c>
      <c r="L7" s="478">
        <f>landbouw!L8</f>
        <v>0</v>
      </c>
      <c r="M7" s="478">
        <f>landbouw!M8</f>
        <v>0</v>
      </c>
      <c r="N7" s="478">
        <f>landbouw!N8</f>
        <v>0</v>
      </c>
      <c r="O7" s="478">
        <f>landbouw!O8</f>
        <v>0</v>
      </c>
      <c r="P7" s="479">
        <f>landbouw!P8</f>
        <v>0</v>
      </c>
      <c r="Q7" s="477">
        <f t="shared" si="0"/>
        <v>6302.3243927514832</v>
      </c>
    </row>
    <row r="8" spans="1:17">
      <c r="A8" s="477" t="s">
        <v>635</v>
      </c>
      <c r="B8" s="478">
        <f>industrie!B18</f>
        <v>19324.178400000001</v>
      </c>
      <c r="C8" s="478">
        <f>industrie!C18</f>
        <v>0</v>
      </c>
      <c r="D8" s="478">
        <f>industrie!D18</f>
        <v>18217.158212000002</v>
      </c>
      <c r="E8" s="478">
        <f>industrie!E18</f>
        <v>251.7198375418871</v>
      </c>
      <c r="F8" s="478">
        <f>industrie!F18</f>
        <v>1839.7505021037159</v>
      </c>
      <c r="G8" s="478">
        <f>industrie!G18</f>
        <v>0</v>
      </c>
      <c r="H8" s="478">
        <f>industrie!H18</f>
        <v>0</v>
      </c>
      <c r="I8" s="478">
        <f>industrie!I18</f>
        <v>0</v>
      </c>
      <c r="J8" s="478">
        <f>industrie!J18</f>
        <v>0</v>
      </c>
      <c r="K8" s="478">
        <f>industrie!K18</f>
        <v>0</v>
      </c>
      <c r="L8" s="478">
        <f>industrie!L18</f>
        <v>0</v>
      </c>
      <c r="M8" s="478">
        <f>industrie!M18</f>
        <v>0</v>
      </c>
      <c r="N8" s="478">
        <f>industrie!N18</f>
        <v>1477.3450934720718</v>
      </c>
      <c r="O8" s="478">
        <f>industrie!O18</f>
        <v>0</v>
      </c>
      <c r="P8" s="479">
        <f>industrie!P18</f>
        <v>0</v>
      </c>
      <c r="Q8" s="477">
        <f t="shared" si="0"/>
        <v>41110.152045117677</v>
      </c>
    </row>
    <row r="9" spans="1:17" s="483" customFormat="1">
      <c r="A9" s="481" t="s">
        <v>561</v>
      </c>
      <c r="B9" s="482">
        <f>transport!B14</f>
        <v>13.09079227524008</v>
      </c>
      <c r="C9" s="482">
        <f>transport!C14</f>
        <v>0</v>
      </c>
      <c r="D9" s="482">
        <f>transport!D14</f>
        <v>50.855123145282143</v>
      </c>
      <c r="E9" s="482">
        <f>transport!E14</f>
        <v>66.801760143786012</v>
      </c>
      <c r="F9" s="482">
        <f>transport!F14</f>
        <v>0</v>
      </c>
      <c r="G9" s="482">
        <f>transport!G14</f>
        <v>25083.474712263403</v>
      </c>
      <c r="H9" s="482">
        <f>transport!H14</f>
        <v>5700.6864836580025</v>
      </c>
      <c r="I9" s="482">
        <f>transport!I14</f>
        <v>0</v>
      </c>
      <c r="J9" s="482">
        <f>transport!J14</f>
        <v>0</v>
      </c>
      <c r="K9" s="482">
        <f>transport!K14</f>
        <v>0</v>
      </c>
      <c r="L9" s="482">
        <f>transport!L14</f>
        <v>0</v>
      </c>
      <c r="M9" s="482">
        <f>transport!M14</f>
        <v>1634.7086638984995</v>
      </c>
      <c r="N9" s="482">
        <f>transport!N14</f>
        <v>0</v>
      </c>
      <c r="O9" s="482">
        <f>transport!O14</f>
        <v>0</v>
      </c>
      <c r="P9" s="482">
        <f>transport!P14</f>
        <v>0</v>
      </c>
      <c r="Q9" s="481">
        <f>SUM(B9:P9)</f>
        <v>32549.617535384212</v>
      </c>
    </row>
    <row r="10" spans="1:17">
      <c r="A10" s="477" t="s">
        <v>551</v>
      </c>
      <c r="B10" s="478">
        <f>transport!B54</f>
        <v>0</v>
      </c>
      <c r="C10" s="478">
        <f>transport!C54</f>
        <v>0</v>
      </c>
      <c r="D10" s="478">
        <f>transport!D54</f>
        <v>0</v>
      </c>
      <c r="E10" s="478">
        <f>transport!E54</f>
        <v>0</v>
      </c>
      <c r="F10" s="478">
        <f>transport!F54</f>
        <v>0</v>
      </c>
      <c r="G10" s="478">
        <f>transport!G54</f>
        <v>153.03569647960401</v>
      </c>
      <c r="H10" s="478">
        <f>transport!H54</f>
        <v>0</v>
      </c>
      <c r="I10" s="478">
        <f>transport!I54</f>
        <v>0</v>
      </c>
      <c r="J10" s="478">
        <f>transport!J54</f>
        <v>0</v>
      </c>
      <c r="K10" s="478">
        <f>transport!K54</f>
        <v>0</v>
      </c>
      <c r="L10" s="478">
        <f>transport!L54</f>
        <v>0</v>
      </c>
      <c r="M10" s="478">
        <f>transport!M54</f>
        <v>8.6917519722698326</v>
      </c>
      <c r="N10" s="478">
        <f>transport!N54</f>
        <v>0</v>
      </c>
      <c r="O10" s="478">
        <f>transport!O54</f>
        <v>0</v>
      </c>
      <c r="P10" s="479">
        <f>transport!P54</f>
        <v>0</v>
      </c>
      <c r="Q10" s="477">
        <f t="shared" si="0"/>
        <v>161.72744845187384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36131.021163574304</v>
      </c>
      <c r="C14" s="488">
        <f t="shared" ref="C14:Q14" ca="1" si="1">SUM(C4:C13)</f>
        <v>0</v>
      </c>
      <c r="D14" s="488">
        <f t="shared" ca="1" si="1"/>
        <v>45144.723417345282</v>
      </c>
      <c r="E14" s="488">
        <f t="shared" si="1"/>
        <v>1748.8404828508926</v>
      </c>
      <c r="F14" s="488">
        <f t="shared" ca="1" si="1"/>
        <v>9439.8782283329347</v>
      </c>
      <c r="G14" s="488">
        <f t="shared" si="1"/>
        <v>25236.510408743008</v>
      </c>
      <c r="H14" s="488">
        <f t="shared" si="1"/>
        <v>5700.6864836580025</v>
      </c>
      <c r="I14" s="488">
        <f t="shared" si="1"/>
        <v>0</v>
      </c>
      <c r="J14" s="488">
        <f t="shared" si="1"/>
        <v>813.533399905186</v>
      </c>
      <c r="K14" s="488">
        <f t="shared" si="1"/>
        <v>0</v>
      </c>
      <c r="L14" s="488">
        <f t="shared" ca="1" si="1"/>
        <v>0</v>
      </c>
      <c r="M14" s="488">
        <f t="shared" si="1"/>
        <v>1643.4004158707694</v>
      </c>
      <c r="N14" s="488">
        <f t="shared" ca="1" si="1"/>
        <v>10743.010419599208</v>
      </c>
      <c r="O14" s="488">
        <f t="shared" si="1"/>
        <v>126.63</v>
      </c>
      <c r="P14" s="489">
        <f t="shared" si="1"/>
        <v>95.333333333333329</v>
      </c>
      <c r="Q14" s="489">
        <f t="shared" ca="1" si="1"/>
        <v>136823.56775321296</v>
      </c>
    </row>
    <row r="16" spans="1:17">
      <c r="A16" s="491" t="s">
        <v>556</v>
      </c>
      <c r="B16" s="841">
        <f ca="1">huishoudens!B10</f>
        <v>0.19878949471438301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1881.952555159565</v>
      </c>
      <c r="C21" s="478">
        <f t="shared" ref="C21:C30" ca="1" si="3">C4*$C$16</f>
        <v>0</v>
      </c>
      <c r="D21" s="478">
        <f t="shared" ref="D21:D30" si="4">D4*$D$16</f>
        <v>4340.2004032200011</v>
      </c>
      <c r="E21" s="478">
        <f t="shared" ref="E21:E30" si="5">E4*$E$16</f>
        <v>296.71975632673008</v>
      </c>
      <c r="F21" s="478">
        <f t="shared" ref="F21:F30" si="6">F4*$F$16</f>
        <v>584.07857906206107</v>
      </c>
      <c r="G21" s="478">
        <f t="shared" ref="G21:G30" si="7">G4*$G$16</f>
        <v>0</v>
      </c>
      <c r="H21" s="478">
        <f t="shared" ref="H21:H30" si="8">H4*$H$16</f>
        <v>0</v>
      </c>
      <c r="I21" s="478">
        <f t="shared" ref="I21:I30" si="9">I4*$I$16</f>
        <v>0</v>
      </c>
      <c r="J21" s="478">
        <f t="shared" ref="J21:J30" si="10">J4*$J$16</f>
        <v>230.91988131043479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7333.8711750787925</v>
      </c>
    </row>
    <row r="22" spans="1:17">
      <c r="A22" s="477" t="s">
        <v>156</v>
      </c>
      <c r="B22" s="478">
        <f t="shared" ca="1" si="2"/>
        <v>1157.4581047830534</v>
      </c>
      <c r="C22" s="478">
        <f t="shared" ca="1" si="3"/>
        <v>0</v>
      </c>
      <c r="D22" s="478">
        <f t="shared" ca="1" si="4"/>
        <v>1016.1604720124</v>
      </c>
      <c r="E22" s="478">
        <f t="shared" si="5"/>
        <v>20.53820749751295</v>
      </c>
      <c r="F22" s="478">
        <f t="shared" ca="1" si="6"/>
        <v>207.45084531814715</v>
      </c>
      <c r="G22" s="478">
        <f t="shared" si="7"/>
        <v>0</v>
      </c>
      <c r="H22" s="478">
        <f t="shared" si="8"/>
        <v>0</v>
      </c>
      <c r="I22" s="478">
        <f t="shared" si="9"/>
        <v>0</v>
      </c>
      <c r="J22" s="478">
        <f t="shared" si="10"/>
        <v>2.0535132159027443E-3</v>
      </c>
      <c r="K22" s="478">
        <f t="shared" si="11"/>
        <v>0</v>
      </c>
      <c r="L22" s="478">
        <f t="shared" ca="1" si="12"/>
        <v>0</v>
      </c>
      <c r="M22" s="478">
        <f t="shared" si="13"/>
        <v>0</v>
      </c>
      <c r="N22" s="478">
        <f t="shared" ca="1" si="14"/>
        <v>0</v>
      </c>
      <c r="O22" s="478">
        <f t="shared" si="15"/>
        <v>0</v>
      </c>
      <c r="P22" s="479">
        <f t="shared" si="16"/>
        <v>0</v>
      </c>
      <c r="Q22" s="477">
        <f t="shared" ref="Q22:Q30" ca="1" si="17">SUM(B22:P22)</f>
        <v>2401.609683124329</v>
      </c>
    </row>
    <row r="23" spans="1:17">
      <c r="A23" s="477" t="s">
        <v>194</v>
      </c>
      <c r="B23" s="478">
        <f t="shared" ca="1" si="2"/>
        <v>77.810581600093229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77.810581600093229</v>
      </c>
    </row>
    <row r="24" spans="1:17">
      <c r="A24" s="477" t="s">
        <v>112</v>
      </c>
      <c r="B24" s="478">
        <f t="shared" ca="1" si="2"/>
        <v>221.20022719050371</v>
      </c>
      <c r="C24" s="478">
        <f t="shared" ca="1" si="3"/>
        <v>0</v>
      </c>
      <c r="D24" s="478">
        <f t="shared" si="4"/>
        <v>72.734561372000002</v>
      </c>
      <c r="E24" s="478">
        <f t="shared" si="5"/>
        <v>7.4244231082618262</v>
      </c>
      <c r="F24" s="478">
        <f t="shared" si="6"/>
        <v>1237.7046785229929</v>
      </c>
      <c r="G24" s="478">
        <f t="shared" si="7"/>
        <v>0</v>
      </c>
      <c r="H24" s="478">
        <f t="shared" si="8"/>
        <v>0</v>
      </c>
      <c r="I24" s="478">
        <f t="shared" si="9"/>
        <v>0</v>
      </c>
      <c r="J24" s="478">
        <f t="shared" si="10"/>
        <v>57.068888742785134</v>
      </c>
      <c r="K24" s="478">
        <f t="shared" si="11"/>
        <v>0</v>
      </c>
      <c r="L24" s="478">
        <f t="shared" si="12"/>
        <v>0</v>
      </c>
      <c r="M24" s="478">
        <f t="shared" si="13"/>
        <v>0</v>
      </c>
      <c r="N24" s="478">
        <f t="shared" si="14"/>
        <v>0</v>
      </c>
      <c r="O24" s="478">
        <f t="shared" si="15"/>
        <v>0</v>
      </c>
      <c r="P24" s="479">
        <f t="shared" si="16"/>
        <v>0</v>
      </c>
      <c r="Q24" s="477">
        <f t="shared" ca="1" si="17"/>
        <v>1596.1327789365437</v>
      </c>
    </row>
    <row r="25" spans="1:17">
      <c r="A25" s="477" t="s">
        <v>635</v>
      </c>
      <c r="B25" s="478">
        <f t="shared" ca="1" si="2"/>
        <v>3841.4436599065943</v>
      </c>
      <c r="C25" s="478">
        <f t="shared" ca="1" si="3"/>
        <v>0</v>
      </c>
      <c r="D25" s="478">
        <f t="shared" si="4"/>
        <v>3679.8659588240007</v>
      </c>
      <c r="E25" s="478">
        <f t="shared" si="5"/>
        <v>57.140403122008372</v>
      </c>
      <c r="F25" s="478">
        <f t="shared" si="6"/>
        <v>491.21338406169218</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8069.6634059142953</v>
      </c>
    </row>
    <row r="26" spans="1:17" s="483" customFormat="1">
      <c r="A26" s="481" t="s">
        <v>561</v>
      </c>
      <c r="B26" s="835">
        <f t="shared" ca="1" si="2"/>
        <v>2.6023119818059239</v>
      </c>
      <c r="C26" s="482">
        <f t="shared" ca="1" si="3"/>
        <v>0</v>
      </c>
      <c r="D26" s="482">
        <f t="shared" si="4"/>
        <v>10.272734875346993</v>
      </c>
      <c r="E26" s="482">
        <f t="shared" si="5"/>
        <v>15.163999552639424</v>
      </c>
      <c r="F26" s="482">
        <f t="shared" si="6"/>
        <v>0</v>
      </c>
      <c r="G26" s="482">
        <f t="shared" si="7"/>
        <v>6697.287748174329</v>
      </c>
      <c r="H26" s="482">
        <f t="shared" si="8"/>
        <v>1419.4709344308426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8144.7977290149647</v>
      </c>
    </row>
    <row r="27" spans="1:17">
      <c r="A27" s="477" t="s">
        <v>551</v>
      </c>
      <c r="B27" s="478">
        <f t="shared" ca="1" si="2"/>
        <v>0</v>
      </c>
      <c r="C27" s="478">
        <f t="shared" ca="1" si="3"/>
        <v>0</v>
      </c>
      <c r="D27" s="478">
        <f t="shared" si="4"/>
        <v>0</v>
      </c>
      <c r="E27" s="478">
        <f t="shared" si="5"/>
        <v>0</v>
      </c>
      <c r="F27" s="478">
        <f t="shared" si="6"/>
        <v>0</v>
      </c>
      <c r="G27" s="478">
        <f t="shared" si="7"/>
        <v>40.860530960054277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40.860530960054277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7182.4674406216163</v>
      </c>
      <c r="C31" s="488">
        <f t="shared" ca="1" si="18"/>
        <v>0</v>
      </c>
      <c r="D31" s="488">
        <f t="shared" ca="1" si="18"/>
        <v>9119.2341303037483</v>
      </c>
      <c r="E31" s="488">
        <f t="shared" si="18"/>
        <v>396.98678960715262</v>
      </c>
      <c r="F31" s="488">
        <f t="shared" ca="1" si="18"/>
        <v>2520.4474869648934</v>
      </c>
      <c r="G31" s="488">
        <f t="shared" si="18"/>
        <v>6738.1482791343833</v>
      </c>
      <c r="H31" s="488">
        <f t="shared" si="18"/>
        <v>1419.4709344308426</v>
      </c>
      <c r="I31" s="488">
        <f t="shared" si="18"/>
        <v>0</v>
      </c>
      <c r="J31" s="488">
        <f t="shared" si="18"/>
        <v>287.99082356643584</v>
      </c>
      <c r="K31" s="488">
        <f t="shared" si="18"/>
        <v>0</v>
      </c>
      <c r="L31" s="488">
        <f t="shared" ca="1" si="18"/>
        <v>0</v>
      </c>
      <c r="M31" s="488">
        <f t="shared" si="18"/>
        <v>0</v>
      </c>
      <c r="N31" s="488">
        <f t="shared" ca="1" si="18"/>
        <v>0</v>
      </c>
      <c r="O31" s="488">
        <f t="shared" si="18"/>
        <v>0</v>
      </c>
      <c r="P31" s="489">
        <f t="shared" si="18"/>
        <v>0</v>
      </c>
      <c r="Q31" s="489">
        <f t="shared" ca="1" si="18"/>
        <v>27664.745884629072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0.19878949471438301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0.19878949471438301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0.19878949471438301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2018-09-06T12:47:46Z</dcterms:modified>
</cp:coreProperties>
</file>