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20" i="15"/>
  <c r="K36" i="14" s="1"/>
  <c r="D31"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17" i="49"/>
  <c r="C10" i="17"/>
  <c r="C12" s="1"/>
  <c r="D48" i="14" s="1"/>
  <c r="C16" i="22"/>
  <c r="O13" i="14"/>
  <c r="O15" s="1"/>
  <c r="C10" i="13"/>
  <c r="C16" i="48" s="1"/>
  <c r="C30" s="1"/>
  <c r="F41" i="14"/>
  <c r="F53" s="1"/>
  <c r="C56" i="22"/>
  <c r="C58" s="1"/>
  <c r="D44" i="14" s="1"/>
  <c r="D46" s="1"/>
  <c r="Q5" i="48"/>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<sst xmlns="http://schemas.openxmlformats.org/spreadsheetml/2006/main" count="1923" uniqueCount="815">
  <si>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</si>
  <si>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</si>
  <si>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</si>
  <si>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</si>
  <si>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</si>
  <si>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</si>
  <si>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</si>
  <si>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</si>
  <si>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</si>
  <si>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</si>
  <si>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</si>
  <si>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</si>
  <si>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</si>
  <si>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</si>
  <si>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</si>
  <si>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</si>
  <si>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</si>
  <si>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</si>
  <si>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</si>
  <si>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</si>
  <si>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</si>
  <si>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</si>
  <si>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</si>
  <si>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</si>
  <si>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</si>
  <si>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</si>
  <si>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</si>
  <si>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</si>
  <si>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</si>
  <si>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</si>
  <si>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</si>
  <si>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</si>
  <si>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</si>
  <si>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</si>
  <si>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</si>
  <si>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</si>
  <si>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</si>
  <si>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</si>
  <si>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</si>
  <si>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</si>
  <si>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</si>
  <si>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</si>
  <si>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</si>
  <si>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</si>
  <si>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</si>
  <si>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</si>
  <si>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</si>
  <si>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</si>
  <si>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</si>
  <si>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</si>
  <si>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</si>
  <si>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</si>
  <si>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</si>
  <si>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</si>
  <si>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</si>
  <si>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</si>
  <si>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</si>
  <si>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</si>
  <si>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</si>
  <si>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</si>
  <si>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</si>
  <si>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</si>
  <si>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</si>
  <si>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</si>
  <si>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</si>
  <si>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</si>
  <si>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</si>
  <si>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</si>
  <si>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</si>
  <si>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</si>
  <si>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</si>
  <si>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</si>
  <si>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</si>
  <si>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</si>
  <si>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</si>
  <si>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</si>
  <si>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</si>
  <si>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</si>
  <si>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</si>
  <si>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</si>
  <si>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</si>
  <si>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</si>
  <si>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</si>
  <si>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</si>
  <si>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</si>
  <si>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</si>
  <si>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</si>
  <si>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</si>
  <si>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</si>
  <si>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</si>
  <si>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</si>
  <si>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</si>
  <si>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</si>
  <si>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</si>
  <si>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</si>
  <si>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</si>
  <si>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</si>
  <si>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</si>
  <si>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</si>
  <si>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</si>
  <si>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</si>
  <si>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</si>
  <si>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</si>
  <si>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</si>
  <si>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</si>
  <si>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</si>
  <si>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</si>
  <si>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</si>
  <si>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</si>
  <si>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</si>
  <si>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</si>
  <si>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</si>
  <si>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</si>
  <si>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</si>
  <si>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</si>
  <si>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</si>
  <si>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</si>
  <si>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</si>
  <si>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</si>
  <si>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</si>
  <si>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</si>
  <si>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</si>
  <si>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</si>
  <si>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</si>
  <si>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</si>
  <si>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</si>
  <si>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</si>
  <si>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</si>
  <si>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</si>
  <si>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</si>
  <si>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</si>
  <si>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</si>
  <si>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</si>
  <si>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</si>
  <si>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</si>
  <si>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</si>
  <si>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</si>
  <si>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</si>
  <si>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</si>
  <si>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</si>
  <si>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</si>
  <si>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</si>
  <si>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</si>
  <si>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</si>
  <si>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</si>
  <si>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</si>
  <si>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</si>
  <si>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</si>
  <si>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</si>
  <si>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</si>
  <si>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</si>
  <si>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</si>
  <si>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</si>
  <si>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</si>
  <si>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</si>
  <si>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</si>
  <si>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</si>
  <si>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</si>
  <si>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</si>
  <si>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</si>
  <si>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</si>
  <si>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</si>
  <si>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</si>
  <si>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</si>
  <si>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</si>
  <si>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</si>
  <si>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</si>
  <si>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</si>
  <si>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</si>
  <si>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</si>
  <si>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</si>
  <si>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</si>
  <si>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</si>
  <si>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</si>
  <si>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</si>
  <si>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</si>
  <si>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</si>
  <si>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</si>
  <si>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</si>
  <si>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</si>
  <si>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</si>
  <si>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</si>
  <si>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</si>
  <si>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</si>
  <si>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</si>
  <si>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</si>
  <si>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</si>
  <si>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</si>
  <si>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</si>
  <si>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</si>
  <si>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</si>
  <si>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</si>
  <si>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</si>
  <si>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</si>
  <si>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</si>
  <si>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</si>
  <si>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</si>
  <si>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</si>
  <si>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</si>
  <si>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</si>
  <si>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</si>
  <si>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</si>
  <si>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</si>
  <si>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</si>
  <si>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</si>
  <si>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</si>
  <si>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</si>
  <si>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</si>
  <si>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</si>
  <si>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</si>
  <si>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</si>
  <si>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</si>
  <si>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</si>
  <si>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</si>
  <si>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</si>
  <si>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</si>
  <si>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</si>
  <si>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</si>
  <si>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</si>
  <si>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</si>
  <si>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</si>
  <si>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</si>
  <si>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</si>
  <si>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</si>
  <si>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</si>
  <si>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</si>
  <si>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</si>
  <si>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</si>
  <si>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</si>
  <si>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</si>
  <si>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</si>
  <si>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</si>
  <si>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</si>
  <si>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</si>
  <si>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</si>
  <si>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</si>
  <si>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</si>
  <si>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</si>
  <si>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</si>
  <si>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</si>
  <si>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</si>
  <si>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</si>
  <si>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</si>
  <si>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</si>
  <si>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</si>
  <si>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</si>
  <si>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</si>
  <si>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</si>
  <si>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</si>
  <si>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</si>
  <si>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</si>
  <si>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</si>
  <si>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</si>
  <si>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</si>
  <si>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</si>
  <si>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</si>
  <si>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</si>
  <si>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</si>
  <si>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</si>
  <si>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</si>
  <si>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</si>
  <si>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</si>
  <si>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</si>
  <si>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</si>
  <si>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</si>
  <si>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</si>
  <si>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</si>
  <si>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</si>
  <si>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</si>
  <si>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</si>
  <si>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</si>
  <si>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</si>
  <si>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</si>
  <si>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</si>
  <si>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</si>
  <si>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</si>
  <si>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</si>
  <si>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</si>
  <si>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</si>
  <si>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</si>
  <si>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</si>
  <si>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</si>
  <si>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</si>
  <si>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</si>
  <si>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</si>
  <si>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</si>
  <si>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</si>
  <si>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</si>
  <si>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</si>
  <si>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</si>
  <si>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</si>
  <si>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</si>
  <si>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</si>
  <si>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</si>
  <si>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</si>
  <si>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</si>
  <si>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</si>
  <si>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</si>
  <si>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</si>
  <si>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</si>
  <si>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</si>
  <si>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</si>
  <si>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</si>
  <si>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</si>
  <si>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</si>
  <si>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</si>
  <si>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</si>
  <si>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</si>
  <si>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</si>
  <si>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</si>
  <si>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</si>
  <si>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</si>
  <si>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</si>
  <si>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</si>
  <si>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</si>
  <si>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</si>
  <si>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</si>
  <si>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</si>
  <si>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</si>
  <si>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</si>
  <si>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</si>
  <si>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</si>
  <si>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</si>
  <si>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</si>
  <si>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</si>
  <si>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</si>
  <si>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</si>
  <si>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</si>
  <si>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</si>
  <si>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</si>
  <si>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</si>
  <si>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</si>
  <si>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</si>
  <si>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</si>
  <si>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</si>
  <si>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</si>
  <si>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</si>
  <si>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</si>
  <si>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</si>
  <si>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</si>
  <si>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</si>
  <si>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</si>
  <si>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</si>
  <si>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</si>
  <si>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</si>
  <si>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</si>
  <si>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</si>
  <si>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</si>
  <si>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</si>
  <si>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</si>
  <si>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</si>
  <si>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</si>
  <si>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</si>
  <si>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</si>
  <si>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</si>
  <si>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</si>
  <si>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</si>
  <si>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</si>
  <si>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</si>
  <si>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</si>
  <si>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</si>
  <si>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</si>
  <si>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</si>
  <si>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</si>
  <si>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</si>
  <si>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</si>
  <si>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</si>
  <si>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</si>
  <si>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</si>
  <si>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</si>
  <si>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</si>
  <si>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</si>
  <si>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</si>
  <si>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</si>
  <si>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</si>
  <si>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</si>
  <si>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</si>
  <si>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</si>
  <si>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</si>
  <si>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</si>
  <si>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</si>
  <si>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</si>
  <si>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</si>
  <si>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</si>
  <si>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</si>
  <si>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</si>
  <si>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</si>
  <si>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</si>
  <si>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</si>
  <si>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</si>
  <si>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</si>
  <si>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</si>
  <si>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</si>
  <si>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</si>
  <si>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</si>
  <si>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</si>
  <si>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</si>
  <si>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</si>
  <si>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</si>
  <si>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</si>
  <si>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</si>
  <si>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</si>
  <si>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</si>
  <si>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</si>
  <si>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</si>
  <si>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</si>
  <si>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</si>
  <si>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</si>
  <si>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</si>
  <si>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</si>
  <si>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</si>
  <si>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</si>
  <si>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</si>
  <si>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</si>
  <si>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</si>
  <si>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</si>
  <si>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</si>
  <si>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</si>
  <si>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</si>
  <si>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</si>
  <si>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</si>
  <si>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</si>
  <si>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</si>
  <si>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</si>
  <si>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</si>
  <si>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</si>
  <si>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</si>
  <si>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</si>
  <si>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</si>
  <si>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</si>
  <si>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</si>
  <si>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</si>
  <si>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</si>
  <si>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</si>
  <si>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</si>
  <si>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</si>
  <si>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</si>
  <si>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</si>
  <si>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</si>
  <si>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</si>
  <si>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</si>
  <si>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</si>
  <si>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</si>
  <si>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</si>
  <si>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</si>
  <si>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</si>
  <si>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</si>
  <si>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</si>
  <si>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</si>
  <si>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</si>
  <si>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</si>
  <si>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</si>
  <si>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</si>
  <si>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</si>
  <si>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</si>
  <si>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</si>
  <si>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</si>
  <si>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</si>
  <si>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</si>
  <si>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</si>
  <si>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</si>
  <si>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</si>
  <si>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</si>
  <si>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</si>
  <si>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</si>
  <si>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</si>
  <si>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</si>
  <si>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</si>
  <si>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</si>
  <si>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</si>
  <si>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</si>
  <si>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</si>
  <si>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</si>
  <si>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</si>
  <si>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</si>
  <si>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</si>
  <si>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</si>
  <si>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</si>
  <si>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</si>
  <si>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</si>
  <si>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</si>
  <si>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</si>
  <si>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</si>
  <si>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</si>
  <si>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</si>
  <si>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</si>
  <si>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</si>
  <si>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</si>
  <si>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</si>
  <si>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</si>
  <si>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</si>
  <si>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</si>
  <si>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</si>
  <si>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</si>
  <si>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</si>
  <si>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</si>
  <si>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</si>
  <si>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</si>
  <si>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</si>
  <si>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</si>
  <si>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</si>
  <si>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</si>
  <si>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</si>
  <si>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</si>
  <si>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</si>
  <si>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</si>
  <si>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</si>
  <si>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</si>
  <si>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</si>
  <si>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</si>
  <si>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</si>
  <si>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</si>
  <si>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</si>
  <si>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</si>
  <si>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</si>
  <si>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</si>
  <si>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</si>
  <si>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</si>
  <si>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</si>
  <si>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</si>
  <si>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</si>
  <si>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</si>
  <si>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</si>
  <si>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</si>
  <si>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</si>
  <si>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</si>
  <si>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</si>
  <si>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</si>
  <si>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</si>
  <si>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</si>
  <si>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</si>
  <si>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</si>
  <si>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</si>
  <si>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</si>
  <si>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</si>
  <si>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</si>
  <si>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</si>
  <si>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</si>
  <si>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</si>
  <si>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</si>
  <si>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</si>
  <si>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</si>
  <si>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</si>
  <si>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</si>
  <si>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</si>
  <si>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</si>
  <si>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</si>
  <si>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</si>
  <si>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</si>
  <si>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</si>
  <si>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</si>
  <si>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</si>
  <si>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</si>
  <si>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</si>
  <si>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</si>
  <si>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</si>
  <si>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</si>
  <si>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</si>
  <si>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</si>
  <si>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</si>
  <si>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</si>
  <si>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</si>
  <si>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</si>
  <si>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</si>
  <si>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</si>
  <si>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</si>
  <si>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</si>
  <si>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</si>
  <si>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</si>
  <si>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</si>
  <si>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</si>
  <si>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</si>
  <si>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</si>
  <si>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</si>
  <si>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</si>
  <si>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</si>
  <si>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</si>
  <si>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</si>
  <si>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</si>
  <si>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</si>
  <si>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</si>
  <si>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</si>
  <si>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</si>
  <si>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</si>
  <si>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</si>
  <si>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</si>
  <si>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</si>
  <si>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</si>
  <si>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</si>
  <si>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</si>
  <si>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</si>
  <si>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</si>
  <si>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</si>
  <si>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</si>
  <si>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</si>
  <si>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</si>
  <si>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</si>
  <si>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</si>
  <si>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</si>
  <si>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</si>
  <si>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</si>
  <si>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</si>
  <si>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</si>
  <si>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</si>
  <si>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</si>
  <si>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</si>
  <si>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</si>
  <si>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</si>
  <si>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</si>
  <si>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</si>
  <si>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</si>
  <si>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</si>
  <si>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</si>
  <si>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</si>
  <si>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</si>
  <si>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</si>
  <si>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</si>
  <si>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</si>
  <si>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</si>
  <si>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</si>
  <si>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</si>
  <si>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</si>
  <si>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</si>
  <si>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</si>
  <si>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</si>
  <si>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</si>
  <si>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</si>
  <si>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</si>
  <si>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</si>
  <si>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</si>
  <si>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</si>
  <si>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</si>
  <si>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</si>
  <si>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</si>
  <si>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</si>
  <si>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</si>
  <si>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</si>
  <si>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</si>
  <si>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</si>
  <si>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</si>
  <si>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</si>
  <si>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</si>
  <si>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</si>
  <si>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</si>
  <si>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</si>
  <si>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</si>
  <si>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</si>
  <si>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</si>
  <si>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</si>
  <si>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</si>
  <si>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</si>
  <si>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</si>
  <si>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</si>
  <si>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</si>
  <si>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</si>
  <si>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</si>
  <si>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</si>
  <si>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</si>
  <si>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</si>
  <si>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</si>
  <si>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</si>
  <si>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</si>
  <si>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</si>
  <si>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</si>
  <si>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</si>
  <si>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</si>
  <si>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</si>
  <si>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</si>
  <si>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</si>
  <si>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</si>
  <si>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</si>
  <si>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</si>
  <si>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</si>
  <si>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</si>
  <si>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</si>
  <si>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</si>
  <si>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</si>
  <si>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</si>
  <si>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</si>
  <si>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</si>
  <si>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</si>
  <si>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</si>
  <si>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</si>
  <si>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</si>
  <si>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</si>
  <si>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</si>
  <si>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</si>
  <si>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</si>
  <si>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</si>
  <si>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</si>
  <si>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</si>
  <si>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</si>
  <si>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</si>
  <si>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</si>
  <si>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</si>
  <si>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</si>
  <si>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</si>
  <si>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</si>
  <si>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</si>
  <si>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</si>
  <si>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</si>
  <si>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</si>
  <si>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</si>
  <si>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</si>
  <si>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</si>
  <si>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</si>
  <si>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</si>
  <si>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</si>
  <si>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</si>
  <si>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</si>
  <si>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</si>
  <si>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</si>
  <si>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</si>
  <si>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</si>
  <si>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</si>
  <si>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</si>
  <si>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</si>
  <si>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</si>
  <si>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</si>
  <si>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</si>
  <si>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</si>
  <si>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</si>
  <si>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</si>
  <si>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</si>
  <si>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</si>
  <si>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</si>
  <si>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</si>
  <si>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</si>
  <si>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</si>
  <si>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</si>
  <si>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</si>
  <si>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</si>
  <si>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</si>
  <si>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</si>
  <si>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</si>
  <si>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</si>
  <si>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</si>
  <si>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</si>
  <si>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</si>
  <si>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</si>
  <si>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</si>
  <si>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</si>
  <si>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</si>
  <si>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</si>
  <si>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</si>
  <si>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</si>
  <si>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</si>
  <si>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</si>
  <si>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</si>
  <si>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</si>
  <si>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</si>
  <si>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</si>
  <si>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</si>
  <si>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</si>
  <si>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</si>
  <si>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</si>
  <si>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</si>
  <si>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</si>
  <si>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</si>
  <si>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</si>
  <si>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</si>
  <si>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</si>
  <si>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</si>
  <si>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</si>
  <si>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</si>
  <si>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</si>
  <si>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</si>
  <si>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</si>
  <si>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</si>
  <si>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</si>
  <si>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</si>
  <si>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</si>
  <si>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</si>
  <si>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</si>
  <si>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</si>
  <si>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</si>
  <si>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</si>
  <si>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</si>
  <si>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</si>
  <si>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</si>
  <si>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</si>
  <si>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</si>
  <si>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</si>
  <si>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</si>
  <si>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</si>
  <si>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</si>
  <si>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</si>
  <si>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</si>
  <si>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</si>
  <si>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</si>
  <si>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</si>
  <si>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</si>
  <si>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</si>
  <si>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</si>
  <si>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</si>
  <si>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</si>
  <si>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</si>
  <si>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</si>
  <si>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</si>
  <si>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</si>
  <si>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</si>
  <si>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34022</t>
  </si>
  <si>
    <t>KORTRIJK</t>
  </si>
  <si>
    <t>Eandis (januari 2018); Infrax (juni 2018)</t>
  </si>
  <si>
    <t>MOW (september 2017)</t>
  </si>
  <si>
    <t>referentietaak LNE (2017); Jaarverslag De Lijn (2016)</t>
  </si>
  <si>
    <t>VEA (april 2018)</t>
  </si>
  <si>
    <t>VEA (januari 2017)</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</si>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</sst>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534692.15705962048</c:v>
                </c:pt>
                <c:pt idx="1">
                  <c:v>454741.52374125138</c:v>
                </c:pt>
                <c:pt idx="2">
                  <c:v>6119.0190000000002</c:v>
                </c:pt>
                <c:pt idx="3">
                  <c:v>40911.206543738408</c:v>
                </c:pt>
                <c:pt idx="4">
                  <c:v>342272.45827182417</c:v>
                </c:pt>
                <c:pt idx="5">
                  <c:v>672875.45915372542</c:v>
                </c:pt>
                <c:pt idx="6">
                  <c:v>10810.360000384429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40000"/>
        <c:axId val="182695040"/>
      </c:barChart>
      <c:catAx>
        <c:axId val="182640000"/>
        <c:scaling>
          <c:orientation val="minMax"/>
        </c:scaling>
        <c:axPos val="b"/>
        <c:numFmt formatCode="General" sourceLinked="0"/>
        <c:tickLblPos val="nextTo"/>
        <c:crossAx val="182695040"/>
        <c:crosses val="autoZero"/>
        <c:auto val="1"/>
        <c:lblAlgn val="ctr"/>
        <c:lblOffset val="100"/>
      </c:catAx>
      <c:valAx>
        <c:axId val="182695040"/>
        <c:scaling>
          <c:orientation val="minMax"/>
        </c:scaling>
        <c:axPos val="l"/>
        <c:majorGridlines/>
        <c:numFmt formatCode="#,##0" sourceLinked="1"/>
        <c:tickLblPos val="nextTo"/>
        <c:crossAx val="182640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534692.15705962048</c:v>
                </c:pt>
                <c:pt idx="1">
                  <c:v>454741.52374125138</c:v>
                </c:pt>
                <c:pt idx="2">
                  <c:v>6119.0190000000002</c:v>
                </c:pt>
                <c:pt idx="3">
                  <c:v>40911.206543738408</c:v>
                </c:pt>
                <c:pt idx="4">
                  <c:v>342272.45827182417</c:v>
                </c:pt>
                <c:pt idx="5">
                  <c:v>672875.45915372542</c:v>
                </c:pt>
                <c:pt idx="6">
                  <c:v>10810.360000384429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101196.82017462156</c:v>
                </c:pt>
                <c:pt idx="1">
                  <c:v>90635.766247999636</c:v>
                </c:pt>
                <c:pt idx="2">
                  <c:v>1244.508250775136</c:v>
                </c:pt>
                <c:pt idx="3">
                  <c:v>9107.3781526990279</c:v>
                </c:pt>
                <c:pt idx="4">
                  <c:v>59780.987832943581</c:v>
                </c:pt>
                <c:pt idx="5">
                  <c:v>168706.71369645503</c:v>
                </c:pt>
                <c:pt idx="6">
                  <c:v>2731.2435440820332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04096"/>
        <c:axId val="183230464"/>
      </c:barChart>
      <c:catAx>
        <c:axId val="183204096"/>
        <c:scaling>
          <c:orientation val="minMax"/>
        </c:scaling>
        <c:axPos val="b"/>
        <c:numFmt formatCode="General" sourceLinked="0"/>
        <c:tickLblPos val="nextTo"/>
        <c:crossAx val="183230464"/>
        <c:crosses val="autoZero"/>
        <c:auto val="1"/>
        <c:lblAlgn val="ctr"/>
        <c:lblOffset val="100"/>
      </c:catAx>
      <c:valAx>
        <c:axId val="183230464"/>
        <c:scaling>
          <c:orientation val="minMax"/>
        </c:scaling>
        <c:axPos val="l"/>
        <c:majorGridlines/>
        <c:numFmt formatCode="#,##0" sourceLinked="1"/>
        <c:tickLblPos val="nextTo"/>
        <c:crossAx val="183204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101196.82017462156</c:v>
                </c:pt>
                <c:pt idx="1">
                  <c:v>90635.766247999636</c:v>
                </c:pt>
                <c:pt idx="2">
                  <c:v>1244.508250775136</c:v>
                </c:pt>
                <c:pt idx="3">
                  <c:v>9107.3781526990279</c:v>
                </c:pt>
                <c:pt idx="4">
                  <c:v>59780.987832943581</c:v>
                </c:pt>
                <c:pt idx="5">
                  <c:v>168706.71369645503</c:v>
                </c:pt>
                <c:pt idx="6">
                  <c:v>2731.2435440820332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34022</v>
      </c>
      <c r="B6" s="415"/>
      <c r="C6" s="416"/>
    </row>
    <row r="7" spans="1:7" s="413" customFormat="1" ht="15.75" customHeight="1">
      <c r="A7" s="417" t="str">
        <f>txtMunicipality</f>
        <v>KORTRIJK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32777</v>
      </c>
      <c r="C9" s="342">
        <v>33727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3609.27</v>
      </c>
    </row>
    <row r="15" spans="1:6">
      <c r="A15" s="348" t="s">
        <v>184</v>
      </c>
      <c r="B15" s="334">
        <v>29</v>
      </c>
    </row>
    <row r="16" spans="1:6">
      <c r="A16" s="348" t="s">
        <v>6</v>
      </c>
      <c r="B16" s="334">
        <v>1041</v>
      </c>
    </row>
    <row r="17" spans="1:6">
      <c r="A17" s="348" t="s">
        <v>7</v>
      </c>
      <c r="B17" s="334">
        <v>961</v>
      </c>
    </row>
    <row r="18" spans="1:6">
      <c r="A18" s="348" t="s">
        <v>8</v>
      </c>
      <c r="B18" s="334">
        <v>1262</v>
      </c>
    </row>
    <row r="19" spans="1:6">
      <c r="A19" s="348" t="s">
        <v>9</v>
      </c>
      <c r="B19" s="334">
        <v>1254</v>
      </c>
    </row>
    <row r="20" spans="1:6">
      <c r="A20" s="348" t="s">
        <v>10</v>
      </c>
      <c r="B20" s="334">
        <v>1049</v>
      </c>
    </row>
    <row r="21" spans="1:6">
      <c r="A21" s="348" t="s">
        <v>11</v>
      </c>
      <c r="B21" s="334">
        <v>1876</v>
      </c>
    </row>
    <row r="22" spans="1:6">
      <c r="A22" s="348" t="s">
        <v>12</v>
      </c>
      <c r="B22" s="334">
        <v>8687</v>
      </c>
    </row>
    <row r="23" spans="1:6">
      <c r="A23" s="348" t="s">
        <v>13</v>
      </c>
      <c r="B23" s="334">
        <v>105</v>
      </c>
    </row>
    <row r="24" spans="1:6">
      <c r="A24" s="348" t="s">
        <v>14</v>
      </c>
      <c r="B24" s="334">
        <v>4</v>
      </c>
    </row>
    <row r="25" spans="1:6">
      <c r="A25" s="348" t="s">
        <v>15</v>
      </c>
      <c r="B25" s="334">
        <v>541</v>
      </c>
    </row>
    <row r="26" spans="1:6">
      <c r="A26" s="348" t="s">
        <v>16</v>
      </c>
      <c r="B26" s="334">
        <v>119</v>
      </c>
    </row>
    <row r="27" spans="1:6">
      <c r="A27" s="348" t="s">
        <v>17</v>
      </c>
      <c r="B27" s="334">
        <v>1</v>
      </c>
    </row>
    <row r="28" spans="1:6" s="356" customFormat="1">
      <c r="A28" s="355" t="s">
        <v>18</v>
      </c>
      <c r="B28" s="355">
        <v>182360</v>
      </c>
    </row>
    <row r="29" spans="1:6">
      <c r="A29" s="355" t="s">
        <v>744</v>
      </c>
      <c r="B29" s="355">
        <v>201</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565607.11370741797</v>
      </c>
      <c r="E36" s="334">
        <v>20</v>
      </c>
      <c r="F36" s="334">
        <v>1592705.3237596201</v>
      </c>
    </row>
    <row r="37" spans="1:6">
      <c r="A37" s="348" t="s">
        <v>25</v>
      </c>
      <c r="B37" s="348" t="s">
        <v>28</v>
      </c>
      <c r="C37" s="334">
        <v>0</v>
      </c>
      <c r="D37" s="334">
        <v>0</v>
      </c>
      <c r="E37" s="334">
        <v>0</v>
      </c>
      <c r="F37" s="334">
        <v>0</v>
      </c>
    </row>
    <row r="38" spans="1:6">
      <c r="A38" s="348" t="s">
        <v>25</v>
      </c>
      <c r="B38" s="348" t="s">
        <v>29</v>
      </c>
      <c r="C38" s="334">
        <v>6</v>
      </c>
      <c r="D38" s="334">
        <v>1016738.67153235</v>
      </c>
      <c r="E38" s="334">
        <v>4</v>
      </c>
      <c r="F38" s="334">
        <v>73853.615362038501</v>
      </c>
    </row>
    <row r="39" spans="1:6">
      <c r="A39" s="348" t="s">
        <v>30</v>
      </c>
      <c r="B39" s="348" t="s">
        <v>31</v>
      </c>
      <c r="C39" s="334">
        <v>25366</v>
      </c>
      <c r="D39" s="334">
        <v>375645611.09478599</v>
      </c>
      <c r="E39" s="334">
        <v>31750</v>
      </c>
      <c r="F39" s="334">
        <v>104674985.04266293</v>
      </c>
    </row>
    <row r="40" spans="1:6">
      <c r="A40" s="348" t="s">
        <v>30</v>
      </c>
      <c r="B40" s="348" t="s">
        <v>29</v>
      </c>
      <c r="C40" s="334">
        <v>2</v>
      </c>
      <c r="D40" s="334">
        <v>68194.0900206722</v>
      </c>
      <c r="E40" s="334">
        <v>0</v>
      </c>
      <c r="F40" s="334">
        <v>0</v>
      </c>
    </row>
    <row r="41" spans="1:6">
      <c r="A41" s="348" t="s">
        <v>32</v>
      </c>
      <c r="B41" s="348" t="s">
        <v>33</v>
      </c>
      <c r="C41" s="334">
        <v>437</v>
      </c>
      <c r="D41" s="334">
        <v>9943243.26764304</v>
      </c>
      <c r="E41" s="334">
        <v>837</v>
      </c>
      <c r="F41" s="334">
        <v>10760190.5050455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15089687.199198401</v>
      </c>
      <c r="E44" s="334">
        <v>78</v>
      </c>
      <c r="F44" s="334">
        <v>15689222.8914536</v>
      </c>
    </row>
    <row r="45" spans="1:6">
      <c r="A45" s="348" t="s">
        <v>32</v>
      </c>
      <c r="B45" s="348" t="s">
        <v>37</v>
      </c>
      <c r="C45" s="334">
        <v>8</v>
      </c>
      <c r="D45" s="334">
        <v>186241.40623972501</v>
      </c>
      <c r="E45" s="334">
        <v>10</v>
      </c>
      <c r="F45" s="334">
        <v>28409.379032128301</v>
      </c>
    </row>
    <row r="46" spans="1:6">
      <c r="A46" s="348" t="s">
        <v>32</v>
      </c>
      <c r="B46" s="348" t="s">
        <v>38</v>
      </c>
      <c r="C46" s="334">
        <v>0</v>
      </c>
      <c r="D46" s="334">
        <v>0</v>
      </c>
      <c r="E46" s="334">
        <v>0</v>
      </c>
      <c r="F46" s="334">
        <v>0</v>
      </c>
    </row>
    <row r="47" spans="1:6">
      <c r="A47" s="348" t="s">
        <v>32</v>
      </c>
      <c r="B47" s="348" t="s">
        <v>39</v>
      </c>
      <c r="C47" s="334">
        <v>34</v>
      </c>
      <c r="D47" s="334">
        <v>13729268.301604301</v>
      </c>
      <c r="E47" s="334">
        <v>45</v>
      </c>
      <c r="F47" s="334">
        <v>13826800.0210332</v>
      </c>
    </row>
    <row r="48" spans="1:6">
      <c r="A48" s="348" t="s">
        <v>32</v>
      </c>
      <c r="B48" s="348" t="s">
        <v>29</v>
      </c>
      <c r="C48" s="334">
        <v>121</v>
      </c>
      <c r="D48" s="334">
        <v>129667533.52622201</v>
      </c>
      <c r="E48" s="334">
        <v>159</v>
      </c>
      <c r="F48" s="334">
        <v>41266334.702195197</v>
      </c>
    </row>
    <row r="49" spans="1:6">
      <c r="A49" s="348" t="s">
        <v>32</v>
      </c>
      <c r="B49" s="348" t="s">
        <v>40</v>
      </c>
      <c r="C49" s="334">
        <v>23</v>
      </c>
      <c r="D49" s="334">
        <v>673425.38537022797</v>
      </c>
      <c r="E49" s="334">
        <v>35</v>
      </c>
      <c r="F49" s="334">
        <v>2954800.3816007702</v>
      </c>
    </row>
    <row r="50" spans="1:6">
      <c r="A50" s="348" t="s">
        <v>32</v>
      </c>
      <c r="B50" s="348" t="s">
        <v>41</v>
      </c>
      <c r="C50" s="334">
        <v>66</v>
      </c>
      <c r="D50" s="334">
        <v>17483718.9442361</v>
      </c>
      <c r="E50" s="334">
        <v>95</v>
      </c>
      <c r="F50" s="334">
        <v>9867303.7227205709</v>
      </c>
    </row>
    <row r="51" spans="1:6">
      <c r="A51" s="348" t="s">
        <v>42</v>
      </c>
      <c r="B51" s="348" t="s">
        <v>43</v>
      </c>
      <c r="C51" s="334">
        <v>12</v>
      </c>
      <c r="D51" s="334">
        <v>276660.52137986902</v>
      </c>
      <c r="E51" s="334">
        <v>130</v>
      </c>
      <c r="F51" s="334">
        <v>1771077.6588971401</v>
      </c>
    </row>
    <row r="52" spans="1:6">
      <c r="A52" s="348" t="s">
        <v>42</v>
      </c>
      <c r="B52" s="348" t="s">
        <v>29</v>
      </c>
      <c r="C52" s="334">
        <v>16</v>
      </c>
      <c r="D52" s="334">
        <v>592184.96216450003</v>
      </c>
      <c r="E52" s="334">
        <v>21</v>
      </c>
      <c r="F52" s="334">
        <v>1088328.0240364301</v>
      </c>
    </row>
    <row r="53" spans="1:6">
      <c r="A53" s="348" t="s">
        <v>44</v>
      </c>
      <c r="B53" s="348" t="s">
        <v>45</v>
      </c>
      <c r="C53" s="334">
        <v>955</v>
      </c>
      <c r="D53" s="334">
        <v>27558380.853711799</v>
      </c>
      <c r="E53" s="334">
        <v>1545</v>
      </c>
      <c r="F53" s="334">
        <v>5683081.6221788703</v>
      </c>
    </row>
    <row r="54" spans="1:6">
      <c r="A54" s="348" t="s">
        <v>46</v>
      </c>
      <c r="B54" s="348" t="s">
        <v>47</v>
      </c>
      <c r="C54" s="334">
        <v>0</v>
      </c>
      <c r="D54" s="334">
        <v>0</v>
      </c>
      <c r="E54" s="334">
        <v>3</v>
      </c>
      <c r="F54" s="334">
        <v>6119019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332</v>
      </c>
      <c r="D57" s="334">
        <v>30906401.856242701</v>
      </c>
      <c r="E57" s="334">
        <v>512</v>
      </c>
      <c r="F57" s="334">
        <v>18107970.756458201</v>
      </c>
    </row>
    <row r="58" spans="1:6">
      <c r="A58" s="348" t="s">
        <v>49</v>
      </c>
      <c r="B58" s="348" t="s">
        <v>51</v>
      </c>
      <c r="C58" s="334">
        <v>369</v>
      </c>
      <c r="D58" s="334">
        <v>49992676.350391097</v>
      </c>
      <c r="E58" s="334">
        <v>476</v>
      </c>
      <c r="F58" s="334">
        <v>29672783.154730801</v>
      </c>
    </row>
    <row r="59" spans="1:6">
      <c r="A59" s="348" t="s">
        <v>49</v>
      </c>
      <c r="B59" s="348" t="s">
        <v>52</v>
      </c>
      <c r="C59" s="334">
        <v>732</v>
      </c>
      <c r="D59" s="334">
        <v>30015830.034693699</v>
      </c>
      <c r="E59" s="334">
        <v>1378</v>
      </c>
      <c r="F59" s="334">
        <v>41859629.807123601</v>
      </c>
    </row>
    <row r="60" spans="1:6">
      <c r="A60" s="348" t="s">
        <v>49</v>
      </c>
      <c r="B60" s="348" t="s">
        <v>53</v>
      </c>
      <c r="C60" s="334">
        <v>429</v>
      </c>
      <c r="D60" s="334">
        <v>28977920.341733001</v>
      </c>
      <c r="E60" s="334">
        <v>513</v>
      </c>
      <c r="F60" s="334">
        <v>18140540.5622572</v>
      </c>
    </row>
    <row r="61" spans="1:6">
      <c r="A61" s="348" t="s">
        <v>49</v>
      </c>
      <c r="B61" s="348" t="s">
        <v>54</v>
      </c>
      <c r="C61" s="334">
        <v>1473</v>
      </c>
      <c r="D61" s="334">
        <v>69878901.313821003</v>
      </c>
      <c r="E61" s="334">
        <v>2926</v>
      </c>
      <c r="F61" s="334">
        <v>51685422.646213897</v>
      </c>
    </row>
    <row r="62" spans="1:6">
      <c r="A62" s="348" t="s">
        <v>49</v>
      </c>
      <c r="B62" s="348" t="s">
        <v>55</v>
      </c>
      <c r="C62" s="334">
        <v>100</v>
      </c>
      <c r="D62" s="334">
        <v>19158892.614453901</v>
      </c>
      <c r="E62" s="334">
        <v>126</v>
      </c>
      <c r="F62" s="334">
        <v>7046657.9352780404</v>
      </c>
    </row>
    <row r="63" spans="1:6">
      <c r="A63" s="348" t="s">
        <v>49</v>
      </c>
      <c r="B63" s="348" t="s">
        <v>29</v>
      </c>
      <c r="C63" s="334">
        <v>323</v>
      </c>
      <c r="D63" s="334">
        <v>16389863.0470143</v>
      </c>
      <c r="E63" s="334">
        <v>333</v>
      </c>
      <c r="F63" s="334">
        <v>16042255.237903001</v>
      </c>
    </row>
    <row r="64" spans="1:6">
      <c r="A64" s="348" t="s">
        <v>56</v>
      </c>
      <c r="B64" s="348" t="s">
        <v>57</v>
      </c>
      <c r="C64" s="334">
        <v>0</v>
      </c>
      <c r="D64" s="334">
        <v>0</v>
      </c>
      <c r="E64" s="334">
        <v>0</v>
      </c>
      <c r="F64" s="334">
        <v>0</v>
      </c>
    </row>
    <row r="65" spans="1:6">
      <c r="A65" s="348" t="s">
        <v>56</v>
      </c>
      <c r="B65" s="348" t="s">
        <v>29</v>
      </c>
      <c r="C65" s="334">
        <v>12</v>
      </c>
      <c r="D65" s="334">
        <v>2129836.8811013699</v>
      </c>
      <c r="E65" s="334">
        <v>11</v>
      </c>
      <c r="F65" s="334">
        <v>433742.549443967</v>
      </c>
    </row>
    <row r="66" spans="1:6">
      <c r="A66" s="348" t="s">
        <v>56</v>
      </c>
      <c r="B66" s="348" t="s">
        <v>58</v>
      </c>
      <c r="C66" s="334">
        <v>4</v>
      </c>
      <c r="D66" s="334">
        <v>831250.47008836898</v>
      </c>
      <c r="E66" s="334">
        <v>60</v>
      </c>
      <c r="F66" s="334">
        <v>2599928.67039691</v>
      </c>
    </row>
    <row r="67" spans="1:6">
      <c r="A67" s="355" t="s">
        <v>56</v>
      </c>
      <c r="B67" s="355" t="s">
        <v>59</v>
      </c>
      <c r="C67" s="334">
        <v>0</v>
      </c>
      <c r="D67" s="334">
        <v>0</v>
      </c>
      <c r="E67" s="334">
        <v>0</v>
      </c>
      <c r="F67" s="334">
        <v>0</v>
      </c>
    </row>
    <row r="68" spans="1:6">
      <c r="A68" s="341" t="s">
        <v>56</v>
      </c>
      <c r="B68" s="341" t="s">
        <v>60</v>
      </c>
      <c r="C68" s="334">
        <v>13</v>
      </c>
      <c r="D68" s="334">
        <v>397056.253339955</v>
      </c>
      <c r="E68" s="334">
        <v>41</v>
      </c>
      <c r="F68" s="334">
        <v>938277.05664303596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224607138</v>
      </c>
      <c r="E73" s="476">
        <v>253109918.82630807</v>
      </c>
    </row>
    <row r="74" spans="1:6">
      <c r="A74" s="348" t="s">
        <v>64</v>
      </c>
      <c r="B74" s="348" t="s">
        <v>657</v>
      </c>
      <c r="C74" s="1213" t="s">
        <v>659</v>
      </c>
      <c r="D74" s="476">
        <v>28129741.848495256</v>
      </c>
      <c r="E74" s="476">
        <v>31682048.807795122</v>
      </c>
    </row>
    <row r="75" spans="1:6">
      <c r="A75" s="348" t="s">
        <v>65</v>
      </c>
      <c r="B75" s="348" t="s">
        <v>656</v>
      </c>
      <c r="C75" s="1213" t="s">
        <v>660</v>
      </c>
      <c r="D75" s="476">
        <v>86030525</v>
      </c>
      <c r="E75" s="476">
        <v>97813662.295590684</v>
      </c>
    </row>
    <row r="76" spans="1:6">
      <c r="A76" s="348" t="s">
        <v>65</v>
      </c>
      <c r="B76" s="348" t="s">
        <v>657</v>
      </c>
      <c r="C76" s="1213" t="s">
        <v>661</v>
      </c>
      <c r="D76" s="476">
        <v>2450642.8484952543</v>
      </c>
      <c r="E76" s="476">
        <v>2935032.2358835414</v>
      </c>
    </row>
    <row r="77" spans="1:6">
      <c r="A77" s="348" t="s">
        <v>66</v>
      </c>
      <c r="B77" s="348" t="s">
        <v>656</v>
      </c>
      <c r="C77" s="1213" t="s">
        <v>662</v>
      </c>
      <c r="D77" s="476">
        <v>264496607</v>
      </c>
      <c r="E77" s="476">
        <v>283383836.19807971</v>
      </c>
    </row>
    <row r="78" spans="1:6">
      <c r="A78" s="341" t="s">
        <v>66</v>
      </c>
      <c r="B78" s="341" t="s">
        <v>657</v>
      </c>
      <c r="C78" s="341" t="s">
        <v>663</v>
      </c>
      <c r="D78" s="1214">
        <v>76113371</v>
      </c>
      <c r="E78" s="1214">
        <v>77161440.543255657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2931950.3030094909</v>
      </c>
      <c r="C83" s="476">
        <v>2929496.4611526704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10334.121279407986</v>
      </c>
    </row>
    <row r="91" spans="1:6">
      <c r="A91" s="348" t="s">
        <v>68</v>
      </c>
      <c r="B91" s="334">
        <v>11017.204452898044</v>
      </c>
    </row>
    <row r="92" spans="1:6">
      <c r="A92" s="341" t="s">
        <v>69</v>
      </c>
      <c r="B92" s="342">
        <v>10780.022973860936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19024</v>
      </c>
    </row>
    <row r="98" spans="1:6">
      <c r="A98" s="348" t="s">
        <v>72</v>
      </c>
      <c r="B98" s="334">
        <v>7</v>
      </c>
    </row>
    <row r="99" spans="1:6">
      <c r="A99" s="348" t="s">
        <v>73</v>
      </c>
      <c r="B99" s="334">
        <v>196</v>
      </c>
    </row>
    <row r="100" spans="1:6">
      <c r="A100" s="348" t="s">
        <v>74</v>
      </c>
      <c r="B100" s="334">
        <v>2575</v>
      </c>
    </row>
    <row r="101" spans="1:6">
      <c r="A101" s="348" t="s">
        <v>75</v>
      </c>
      <c r="B101" s="334">
        <v>278</v>
      </c>
    </row>
    <row r="102" spans="1:6">
      <c r="A102" s="348" t="s">
        <v>76</v>
      </c>
      <c r="B102" s="334">
        <v>715</v>
      </c>
    </row>
    <row r="103" spans="1:6">
      <c r="A103" s="348" t="s">
        <v>77</v>
      </c>
      <c r="B103" s="334">
        <v>618</v>
      </c>
    </row>
    <row r="104" spans="1:6">
      <c r="A104" s="348" t="s">
        <v>78</v>
      </c>
      <c r="B104" s="334">
        <v>6763</v>
      </c>
    </row>
    <row r="105" spans="1:6">
      <c r="A105" s="341" t="s">
        <v>79</v>
      </c>
      <c r="B105" s="341">
        <v>22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80</v>
      </c>
      <c r="C123" s="334">
        <v>137</v>
      </c>
    </row>
    <row r="124" spans="1:6">
      <c r="A124" s="341" t="s">
        <v>89</v>
      </c>
      <c r="B124" s="334">
        <v>5</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575</v>
      </c>
    </row>
    <row r="130" spans="1:6">
      <c r="A130" s="348" t="s">
        <v>295</v>
      </c>
      <c r="B130" s="334">
        <v>15</v>
      </c>
    </row>
    <row r="131" spans="1:6">
      <c r="A131" s="348" t="s">
        <v>296</v>
      </c>
      <c r="B131" s="334">
        <v>12</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402486.44560904882</v>
      </c>
      <c r="C3" s="43" t="s">
        <v>170</v>
      </c>
      <c r="D3" s="43"/>
      <c r="E3" s="154"/>
      <c r="F3" s="43"/>
      <c r="G3" s="43"/>
      <c r="H3" s="43"/>
      <c r="I3" s="43"/>
      <c r="J3" s="43"/>
      <c r="K3" s="96"/>
    </row>
    <row r="4" spans="1:11">
      <c r="A4" s="383" t="s">
        <v>171</v>
      </c>
      <c r="B4" s="49">
        <f>IF(ISERROR('SEAP template'!B69),0,'SEAP template'!B69)</f>
        <v>32772.598706166966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152.39117647058828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0.20338362256680947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217.70168067226894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916.07142857142856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6119.0190000000002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6119.0190000000002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0.20338362256680947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1244.508250775136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104674.98504266293</v>
      </c>
      <c r="C5" s="17">
        <f>IF(ISERROR('Eigen informatie GS &amp; warmtenet'!B57),0,'Eigen informatie GS &amp; warmtenet'!B57)</f>
        <v>0</v>
      </c>
      <c r="D5" s="30">
        <f>(SUM(HH_hh_gas_kWh,HH_rest_gas_kWh)/1000)*0.902</f>
        <v>338893.8522766956</v>
      </c>
      <c r="E5" s="17">
        <f>B46*B57</f>
        <v>8498.1624047583955</v>
      </c>
      <c r="F5" s="17">
        <f>B51*B62</f>
        <v>27270.7211481495</v>
      </c>
      <c r="G5" s="18"/>
      <c r="H5" s="17"/>
      <c r="I5" s="17"/>
      <c r="J5" s="17">
        <f>B50*B61+C50*C61</f>
        <v>0</v>
      </c>
      <c r="K5" s="17"/>
      <c r="L5" s="17"/>
      <c r="M5" s="17"/>
      <c r="N5" s="17">
        <f>B48*B59+C48*C59</f>
        <v>41077.728401122695</v>
      </c>
      <c r="O5" s="17">
        <f>B69*B70*B71</f>
        <v>1124.0366666666669</v>
      </c>
      <c r="P5" s="17">
        <f>B77*B78*B79/1000-B77*B78*B79/1000/B80</f>
        <v>2135.4666666666667</v>
      </c>
    </row>
    <row r="6" spans="1:16">
      <c r="A6" s="16" t="s">
        <v>621</v>
      </c>
      <c r="B6" s="843">
        <f>kWh_PV_kleiner_dan_10kW</f>
        <v>11017.204452898044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115692.18949556098</v>
      </c>
      <c r="C8" s="21">
        <f>C5</f>
        <v>0</v>
      </c>
      <c r="D8" s="21">
        <f>D5</f>
        <v>338893.8522766956</v>
      </c>
      <c r="E8" s="21">
        <f>E5</f>
        <v>8498.1624047583955</v>
      </c>
      <c r="F8" s="21">
        <f>F5</f>
        <v>27270.7211481495</v>
      </c>
      <c r="G8" s="21"/>
      <c r="H8" s="21"/>
      <c r="I8" s="21"/>
      <c r="J8" s="21">
        <f>J5</f>
        <v>0</v>
      </c>
      <c r="K8" s="21"/>
      <c r="L8" s="21">
        <f>L5</f>
        <v>0</v>
      </c>
      <c r="M8" s="21">
        <f>M5</f>
        <v>0</v>
      </c>
      <c r="N8" s="21">
        <f>N5</f>
        <v>41077.728401122695</v>
      </c>
      <c r="O8" s="21">
        <f>O5</f>
        <v>1124.0366666666669</v>
      </c>
      <c r="P8" s="21">
        <f>P5</f>
        <v>2135.4666666666667</v>
      </c>
    </row>
    <row r="9" spans="1:16">
      <c r="B9" s="19"/>
      <c r="C9" s="19"/>
      <c r="D9" s="258"/>
      <c r="E9" s="19"/>
      <c r="F9" s="19"/>
      <c r="G9" s="19"/>
      <c r="H9" s="19"/>
      <c r="I9" s="19"/>
      <c r="J9" s="19"/>
      <c r="K9" s="19"/>
      <c r="L9" s="19"/>
      <c r="M9" s="19"/>
      <c r="N9" s="19"/>
      <c r="O9" s="19"/>
      <c r="P9" s="19"/>
    </row>
    <row r="10" spans="1:16">
      <c r="A10" s="24" t="s">
        <v>214</v>
      </c>
      <c r="B10" s="25">
        <f ca="1">'EF ele_warmte'!B12</f>
        <v>0.20338362256680947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23529.896602292974</v>
      </c>
      <c r="C12" s="23">
        <f ca="1">C10*C8</f>
        <v>0</v>
      </c>
      <c r="D12" s="23">
        <f>D8*D10</f>
        <v>68456.55815989252</v>
      </c>
      <c r="E12" s="23">
        <f>E10*E8</f>
        <v>1929.0828658801559</v>
      </c>
      <c r="F12" s="23">
        <f>F10*F8</f>
        <v>7281.2825465559172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19024</v>
      </c>
      <c r="C18" s="166" t="s">
        <v>111</v>
      </c>
      <c r="D18" s="228"/>
      <c r="E18" s="15"/>
    </row>
    <row r="19" spans="1:7">
      <c r="A19" s="171" t="s">
        <v>72</v>
      </c>
      <c r="B19" s="37">
        <f>aantalw2001_ander</f>
        <v>7</v>
      </c>
      <c r="C19" s="166" t="s">
        <v>111</v>
      </c>
      <c r="D19" s="229"/>
      <c r="E19" s="15"/>
    </row>
    <row r="20" spans="1:7">
      <c r="A20" s="171" t="s">
        <v>73</v>
      </c>
      <c r="B20" s="37">
        <f>aantalw2001_propaan</f>
        <v>196</v>
      </c>
      <c r="C20" s="167">
        <f>IF(ISERROR(B20/SUM($B$20,$B$21,$B$22)*100),0,B20/SUM($B$20,$B$21,$B$22)*100)</f>
        <v>6.4283371597244994</v>
      </c>
      <c r="D20" s="229"/>
      <c r="E20" s="15"/>
    </row>
    <row r="21" spans="1:7">
      <c r="A21" s="171" t="s">
        <v>74</v>
      </c>
      <c r="B21" s="37">
        <f>aantalw2001_elektriciteit</f>
        <v>2575</v>
      </c>
      <c r="C21" s="167">
        <f>IF(ISERROR(B21/SUM($B$20,$B$21,$B$22)*100),0,B21/SUM($B$20,$B$21,$B$22)*100)</f>
        <v>84.453919317809124</v>
      </c>
      <c r="D21" s="229"/>
      <c r="E21" s="15"/>
    </row>
    <row r="22" spans="1:7">
      <c r="A22" s="171" t="s">
        <v>75</v>
      </c>
      <c r="B22" s="37">
        <f>aantalw2001_hout</f>
        <v>278</v>
      </c>
      <c r="C22" s="167">
        <f>IF(ISERROR(B22/SUM($B$20,$B$21,$B$22)*100),0,B22/SUM($B$20,$B$21,$B$22)*100)</f>
        <v>9.1177435224663839</v>
      </c>
      <c r="D22" s="229"/>
      <c r="E22" s="15"/>
    </row>
    <row r="23" spans="1:7">
      <c r="A23" s="171" t="s">
        <v>76</v>
      </c>
      <c r="B23" s="37">
        <f>aantalw2001_niet_gespec</f>
        <v>715</v>
      </c>
      <c r="C23" s="166" t="s">
        <v>111</v>
      </c>
      <c r="D23" s="228"/>
      <c r="E23" s="15"/>
    </row>
    <row r="24" spans="1:7">
      <c r="A24" s="171" t="s">
        <v>77</v>
      </c>
      <c r="B24" s="37">
        <f>aantalw2001_steenkool</f>
        <v>618</v>
      </c>
      <c r="C24" s="166" t="s">
        <v>111</v>
      </c>
      <c r="D24" s="229"/>
      <c r="E24" s="15"/>
    </row>
    <row r="25" spans="1:7">
      <c r="A25" s="171" t="s">
        <v>78</v>
      </c>
      <c r="B25" s="37">
        <f>aantalw2001_stookolie</f>
        <v>6763</v>
      </c>
      <c r="C25" s="166" t="s">
        <v>111</v>
      </c>
      <c r="D25" s="228"/>
      <c r="E25" s="52"/>
    </row>
    <row r="26" spans="1:7">
      <c r="A26" s="171" t="s">
        <v>79</v>
      </c>
      <c r="B26" s="37">
        <f>aantalw2001_WP</f>
        <v>22</v>
      </c>
      <c r="C26" s="166" t="s">
        <v>111</v>
      </c>
      <c r="D26" s="228"/>
      <c r="E26" s="15"/>
    </row>
    <row r="27" spans="1:7" s="15" customFormat="1">
      <c r="A27" s="171"/>
      <c r="B27" s="29"/>
      <c r="C27" s="36"/>
      <c r="D27" s="228"/>
    </row>
    <row r="28" spans="1:7" s="15" customFormat="1">
      <c r="A28" s="230" t="s">
        <v>794</v>
      </c>
      <c r="B28" s="37">
        <f>aantalHuishoudens2011</f>
        <v>32777</v>
      </c>
      <c r="C28" s="36"/>
      <c r="D28" s="228"/>
    </row>
    <row r="29" spans="1:7" s="15" customFormat="1">
      <c r="A29" s="230" t="s">
        <v>795</v>
      </c>
      <c r="B29" s="37">
        <f>SUM(HH_hh_gas_aantal,HH_rest_gas_aantal)</f>
        <v>25368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25368</v>
      </c>
      <c r="C32" s="167">
        <f>IF(ISERROR(B32/SUM($B$32,$B$34,$B$35,$B$36,$B$38,$B$39)*100),0,B32/SUM($B$32,$B$34,$B$35,$B$36,$B$38,$B$39)*100)</f>
        <v>77.661105158426452</v>
      </c>
      <c r="D32" s="233"/>
      <c r="G32" s="15"/>
    </row>
    <row r="33" spans="1:7">
      <c r="A33" s="171" t="s">
        <v>72</v>
      </c>
      <c r="B33" s="34" t="s">
        <v>111</v>
      </c>
      <c r="C33" s="167"/>
      <c r="D33" s="233"/>
      <c r="G33" s="15"/>
    </row>
    <row r="34" spans="1:7">
      <c r="A34" s="171" t="s">
        <v>73</v>
      </c>
      <c r="B34" s="33">
        <f>IF((($B$28-$B$32-$B$39-$B$77-$B$38)*C20/100)&lt;0,0,($B$28-$B$32-$B$39-$B$77-$B$38)*C20/100)</f>
        <v>401.3596589045589</v>
      </c>
      <c r="C34" s="167">
        <f>IF(ISERROR(B34/SUM($B$32,$B$34,$B$35,$B$36,$B$38,$B$39)*100),0,B34/SUM($B$32,$B$34,$B$35,$B$36,$B$38,$B$39)*100)</f>
        <v>1.2287147065806181</v>
      </c>
      <c r="D34" s="233"/>
      <c r="G34" s="15"/>
    </row>
    <row r="35" spans="1:7">
      <c r="A35" s="171" t="s">
        <v>74</v>
      </c>
      <c r="B35" s="33">
        <f>IF((($B$28-$B$32-$B$39-$B$77-$B$38)*C21/100)&lt;0,0,($B$28-$B$32-$B$39-$B$77-$B$38)*C21/100)</f>
        <v>5272.9649065267304</v>
      </c>
      <c r="C35" s="167">
        <f>IF(ISERROR(B35/SUM($B$32,$B$34,$B$35,$B$36,$B$38,$B$39)*100),0,B35/SUM($B$32,$B$34,$B$35,$B$36,$B$38,$B$39)*100)</f>
        <v>16.142552905332099</v>
      </c>
      <c r="D35" s="233"/>
      <c r="G35" s="15"/>
    </row>
    <row r="36" spans="1:7">
      <c r="A36" s="171" t="s">
        <v>75</v>
      </c>
      <c r="B36" s="33">
        <f>IF((($B$28-$B$32-$B$39-$B$77-$B$38)*C22/100)&lt;0,0,($B$28-$B$32-$B$39-$B$77-$B$38)*C22/100)</f>
        <v>569.27543456871126</v>
      </c>
      <c r="C36" s="167">
        <f>IF(ISERROR(B36/SUM($B$32,$B$34,$B$35,$B$36,$B$38,$B$39)*100),0,B36/SUM($B$32,$B$34,$B$35,$B$36,$B$38,$B$39)*100)</f>
        <v>1.7427688185174077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1053.3999999999996</v>
      </c>
      <c r="C39" s="167">
        <f>IF(ISERROR(B39/SUM($B$32,$B$34,$B$35,$B$36,$B$38,$B$39)*100),0,B39/SUM($B$32,$B$34,$B$35,$B$36,$B$38,$B$39)*100)</f>
        <v>3.2248584111434249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25368</v>
      </c>
      <c r="C44" s="34" t="s">
        <v>111</v>
      </c>
      <c r="D44" s="174"/>
    </row>
    <row r="45" spans="1:7">
      <c r="A45" s="171" t="s">
        <v>72</v>
      </c>
      <c r="B45" s="33" t="str">
        <f t="shared" si="0"/>
        <v>-</v>
      </c>
      <c r="C45" s="34" t="s">
        <v>111</v>
      </c>
      <c r="D45" s="174"/>
    </row>
    <row r="46" spans="1:7">
      <c r="A46" s="171" t="s">
        <v>73</v>
      </c>
      <c r="B46" s="33">
        <f t="shared" si="0"/>
        <v>401.3596589045589</v>
      </c>
      <c r="C46" s="34" t="s">
        <v>111</v>
      </c>
      <c r="D46" s="174"/>
    </row>
    <row r="47" spans="1:7">
      <c r="A47" s="171" t="s">
        <v>74</v>
      </c>
      <c r="B47" s="33">
        <f t="shared" si="0"/>
        <v>5272.9649065267304</v>
      </c>
      <c r="C47" s="34" t="s">
        <v>111</v>
      </c>
      <c r="D47" s="174"/>
    </row>
    <row r="48" spans="1:7">
      <c r="A48" s="171" t="s">
        <v>75</v>
      </c>
      <c r="B48" s="33">
        <f t="shared" si="0"/>
        <v>569.27543456871126</v>
      </c>
      <c r="C48" s="33">
        <f>B48*10</f>
        <v>5692.7543456871126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1053.3999999999996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182555.26009996477</v>
      </c>
      <c r="C5" s="17">
        <f>IF(ISERROR('Eigen informatie GS &amp; warmtenet'!B58),0,'Eigen informatie GS &amp; warmtenet'!B58)</f>
        <v>0</v>
      </c>
      <c r="D5" s="30">
        <f>SUM(D6:D12)</f>
        <v>221279.07797363144</v>
      </c>
      <c r="E5" s="17">
        <f>SUM(E6:E12)</f>
        <v>2107.3141018545311</v>
      </c>
      <c r="F5" s="17">
        <f>SUM(F6:F12)</f>
        <v>31281.275709446407</v>
      </c>
      <c r="G5" s="18"/>
      <c r="H5" s="17"/>
      <c r="I5" s="17"/>
      <c r="J5" s="17">
        <f>SUM(J6:J12)</f>
        <v>0.43189978974652199</v>
      </c>
      <c r="K5" s="17"/>
      <c r="L5" s="17"/>
      <c r="M5" s="17"/>
      <c r="N5" s="17">
        <f>SUM(N6:N12)</f>
        <v>17521.668718469333</v>
      </c>
      <c r="O5" s="17">
        <f>B38*B39*B40</f>
        <v>23.45</v>
      </c>
      <c r="P5" s="17">
        <f>B46*B47*B48/1000-B46*B47*B48/1000/B49</f>
        <v>247.86666666666667</v>
      </c>
      <c r="R5" s="32"/>
    </row>
    <row r="6" spans="1:18">
      <c r="A6" s="32" t="s">
        <v>54</v>
      </c>
      <c r="B6" s="37">
        <f>B26</f>
        <v>51685.422646213898</v>
      </c>
      <c r="C6" s="33"/>
      <c r="D6" s="37">
        <f>IF(ISERROR(TER_kantoor_gas_kWh/1000),0,TER_kantoor_gas_kWh/1000)*0.902</f>
        <v>63030.768985066541</v>
      </c>
      <c r="E6" s="33">
        <f>$C$26*'E Balans VL '!I12/100/3.6*1000000</f>
        <v>0.32394703884420684</v>
      </c>
      <c r="F6" s="33">
        <f>$C$26*('E Balans VL '!L12+'E Balans VL '!N12)/100/3.6*1000000</f>
        <v>7766.8747952757103</v>
      </c>
      <c r="G6" s="34"/>
      <c r="H6" s="33"/>
      <c r="I6" s="33"/>
      <c r="J6" s="33">
        <f>$C$26*('E Balans VL '!D12+'E Balans VL '!E12)/100/3.6*1000000</f>
        <v>0</v>
      </c>
      <c r="K6" s="33"/>
      <c r="L6" s="33"/>
      <c r="M6" s="33"/>
      <c r="N6" s="33">
        <f>$C$26*'E Balans VL '!Y12/100/3.6*1000000</f>
        <v>49.429443556204248</v>
      </c>
      <c r="O6" s="33"/>
      <c r="P6" s="33"/>
      <c r="R6" s="32"/>
    </row>
    <row r="7" spans="1:18">
      <c r="A7" s="32" t="s">
        <v>53</v>
      </c>
      <c r="B7" s="37">
        <f t="shared" ref="B7:B12" si="0">B27</f>
        <v>18140.5405622572</v>
      </c>
      <c r="C7" s="33"/>
      <c r="D7" s="37">
        <f>IF(ISERROR(TER_horeca_gas_kWh/1000),0,TER_horeca_gas_kWh/1000)*0.902</f>
        <v>26138.084148243168</v>
      </c>
      <c r="E7" s="33">
        <f>$C$27*'E Balans VL '!I9/100/3.6*1000000</f>
        <v>259.76951921429031</v>
      </c>
      <c r="F7" s="33">
        <f>$C$27*('E Balans VL '!L9+'E Balans VL '!N9)/100/3.6*1000000</f>
        <v>2297.1907332594556</v>
      </c>
      <c r="G7" s="34"/>
      <c r="H7" s="33"/>
      <c r="I7" s="33"/>
      <c r="J7" s="33">
        <f>$C$27*('E Balans VL '!D9+'E Balans VL '!E9)/100/3.6*1000000</f>
        <v>0</v>
      </c>
      <c r="K7" s="33"/>
      <c r="L7" s="33"/>
      <c r="M7" s="33"/>
      <c r="N7" s="33">
        <f>$C$27*'E Balans VL '!Y9/100/3.6*1000000</f>
        <v>5.2150054470623743</v>
      </c>
      <c r="O7" s="33"/>
      <c r="P7" s="33"/>
      <c r="R7" s="32"/>
    </row>
    <row r="8" spans="1:18">
      <c r="A8" s="6" t="s">
        <v>52</v>
      </c>
      <c r="B8" s="37">
        <f t="shared" si="0"/>
        <v>41859.629807123601</v>
      </c>
      <c r="C8" s="33"/>
      <c r="D8" s="37">
        <f>IF(ISERROR(TER_handel_gas_kWh/1000),0,TER_handel_gas_kWh/1000)*0.902</f>
        <v>27074.278691293719</v>
      </c>
      <c r="E8" s="33">
        <f>$C$28*'E Balans VL '!I13/100/3.6*1000000</f>
        <v>1518.2436112060864</v>
      </c>
      <c r="F8" s="33">
        <f>$C$28*('E Balans VL '!L13+'E Balans VL '!N13)/100/3.6*1000000</f>
        <v>8062.5885565517083</v>
      </c>
      <c r="G8" s="34"/>
      <c r="H8" s="33"/>
      <c r="I8" s="33"/>
      <c r="J8" s="33">
        <f>$C$28*('E Balans VL '!D13+'E Balans VL '!E13)/100/3.6*1000000</f>
        <v>0</v>
      </c>
      <c r="K8" s="33"/>
      <c r="L8" s="33"/>
      <c r="M8" s="33"/>
      <c r="N8" s="33">
        <f>$C$28*'E Balans VL '!Y13/100/3.6*1000000</f>
        <v>57.985218754134067</v>
      </c>
      <c r="O8" s="33"/>
      <c r="P8" s="33"/>
      <c r="R8" s="32"/>
    </row>
    <row r="9" spans="1:18">
      <c r="A9" s="32" t="s">
        <v>51</v>
      </c>
      <c r="B9" s="37">
        <f t="shared" si="0"/>
        <v>29672.783154730801</v>
      </c>
      <c r="C9" s="33"/>
      <c r="D9" s="37">
        <f>IF(ISERROR(TER_gezond_gas_kWh/1000),0,TER_gezond_gas_kWh/1000)*0.902</f>
        <v>45093.394068052774</v>
      </c>
      <c r="E9" s="33">
        <f>$C$29*'E Balans VL '!I10/100/3.6*1000000</f>
        <v>1.8578091912924681</v>
      </c>
      <c r="F9" s="33">
        <f>$C$29*('E Balans VL '!L10+'E Balans VL '!N10)/100/3.6*1000000</f>
        <v>4407.982282655963</v>
      </c>
      <c r="G9" s="34"/>
      <c r="H9" s="33"/>
      <c r="I9" s="33"/>
      <c r="J9" s="33">
        <f>$C$29*('E Balans VL '!D10+'E Balans VL '!E10)/100/3.6*1000000</f>
        <v>0</v>
      </c>
      <c r="K9" s="33"/>
      <c r="L9" s="33"/>
      <c r="M9" s="33"/>
      <c r="N9" s="33">
        <f>$C$29*'E Balans VL '!Y10/100/3.6*1000000</f>
        <v>458.98147301620548</v>
      </c>
      <c r="O9" s="33"/>
      <c r="P9" s="33"/>
      <c r="R9" s="32"/>
    </row>
    <row r="10" spans="1:18">
      <c r="A10" s="32" t="s">
        <v>50</v>
      </c>
      <c r="B10" s="37">
        <f t="shared" si="0"/>
        <v>18107.970756458202</v>
      </c>
      <c r="C10" s="33"/>
      <c r="D10" s="37">
        <f>IF(ISERROR(TER_ander_gas_kWh/1000),0,TER_ander_gas_kWh/1000)*0.902</f>
        <v>27877.574474330919</v>
      </c>
      <c r="E10" s="33">
        <f>$C$30*'E Balans VL '!I14/100/3.6*1000000</f>
        <v>21.584054072158882</v>
      </c>
      <c r="F10" s="33">
        <f>$C$30*('E Balans VL '!L14+'E Balans VL '!N14)/100/3.6*1000000</f>
        <v>4737.8501670407213</v>
      </c>
      <c r="G10" s="34"/>
      <c r="H10" s="33"/>
      <c r="I10" s="33"/>
      <c r="J10" s="33">
        <f>$C$30*('E Balans VL '!D14+'E Balans VL '!E14)/100/3.6*1000000</f>
        <v>0.39305306383727467</v>
      </c>
      <c r="K10" s="33"/>
      <c r="L10" s="33"/>
      <c r="M10" s="33"/>
      <c r="N10" s="33">
        <f>$C$30*'E Balans VL '!Y14/100/3.6*1000000</f>
        <v>15376.845670576915</v>
      </c>
      <c r="O10" s="33"/>
      <c r="P10" s="33"/>
      <c r="R10" s="32"/>
    </row>
    <row r="11" spans="1:18">
      <c r="A11" s="32" t="s">
        <v>55</v>
      </c>
      <c r="B11" s="37">
        <f t="shared" si="0"/>
        <v>7046.65793527804</v>
      </c>
      <c r="C11" s="33"/>
      <c r="D11" s="37">
        <f>IF(ISERROR(TER_onderwijs_gas_kWh/1000),0,TER_onderwijs_gas_kWh/1000)*0.902</f>
        <v>17281.321138237417</v>
      </c>
      <c r="E11" s="33">
        <f>$C$31*'E Balans VL '!I11/100/3.6*1000000</f>
        <v>106.32271852149927</v>
      </c>
      <c r="F11" s="33">
        <f>$C$31*('E Balans VL '!L11+'E Balans VL '!N11)/100/3.6*1000000</f>
        <v>1234.6870439702589</v>
      </c>
      <c r="G11" s="34"/>
      <c r="H11" s="33"/>
      <c r="I11" s="33"/>
      <c r="J11" s="33">
        <f>$C$31*('E Balans VL '!D11+'E Balans VL '!E11)/100/3.6*1000000</f>
        <v>0</v>
      </c>
      <c r="K11" s="33"/>
      <c r="L11" s="33"/>
      <c r="M11" s="33"/>
      <c r="N11" s="33">
        <f>$C$31*'E Balans VL '!Y11/100/3.6*1000000</f>
        <v>19.829831137209382</v>
      </c>
      <c r="O11" s="33"/>
      <c r="P11" s="33"/>
      <c r="R11" s="32"/>
    </row>
    <row r="12" spans="1:18">
      <c r="A12" s="32" t="s">
        <v>260</v>
      </c>
      <c r="B12" s="37">
        <f t="shared" si="0"/>
        <v>16042.255237903</v>
      </c>
      <c r="C12" s="33"/>
      <c r="D12" s="37">
        <f>IF(ISERROR(TER_rest_gas_kWh/1000),0,TER_rest_gas_kWh/1000)*0.902</f>
        <v>14783.656468406898</v>
      </c>
      <c r="E12" s="33">
        <f>$C$32*'E Balans VL '!I8/100/3.6*1000000</f>
        <v>199.21244261035972</v>
      </c>
      <c r="F12" s="33">
        <f>$C$32*('E Balans VL '!L8+'E Balans VL '!N8)/100/3.6*1000000</f>
        <v>2774.1021306925913</v>
      </c>
      <c r="G12" s="34"/>
      <c r="H12" s="33"/>
      <c r="I12" s="33"/>
      <c r="J12" s="33">
        <f>$C$32*('E Balans VL '!D8+'E Balans VL '!E8)/100/3.6*1000000</f>
        <v>3.8846725909247329E-2</v>
      </c>
      <c r="K12" s="33"/>
      <c r="L12" s="33"/>
      <c r="M12" s="33"/>
      <c r="N12" s="33">
        <f>$C$32*'E Balans VL '!Y8/100/3.6*1000000</f>
        <v>1553.3820759816019</v>
      </c>
      <c r="O12" s="33"/>
      <c r="P12" s="33"/>
      <c r="R12" s="32"/>
    </row>
    <row r="13" spans="1:18">
      <c r="A13" s="16" t="s">
        <v>488</v>
      </c>
      <c r="B13" s="247">
        <f ca="1">'lokale energieproductie'!N90+'lokale energieproductie'!N59</f>
        <v>641.25</v>
      </c>
      <c r="C13" s="247">
        <f ca="1">'lokale energieproductie'!O90+'lokale energieproductie'!O59</f>
        <v>916.07142857142856</v>
      </c>
      <c r="D13" s="310">
        <f ca="1">('lokale energieproductie'!P59+'lokale energieproductie'!P90)*(-1)</f>
        <v>-1832.1428571428573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183196.51009996477</v>
      </c>
      <c r="C16" s="21">
        <f t="shared" ca="1" si="1"/>
        <v>916.07142857142856</v>
      </c>
      <c r="D16" s="21">
        <f t="shared" ca="1" si="1"/>
        <v>219446.93511648857</v>
      </c>
      <c r="E16" s="21">
        <f t="shared" si="1"/>
        <v>2107.3141018545311</v>
      </c>
      <c r="F16" s="21">
        <f t="shared" ca="1" si="1"/>
        <v>31281.275709446407</v>
      </c>
      <c r="G16" s="21">
        <f t="shared" si="1"/>
        <v>0</v>
      </c>
      <c r="H16" s="21">
        <f t="shared" si="1"/>
        <v>0</v>
      </c>
      <c r="I16" s="21">
        <f t="shared" si="1"/>
        <v>0</v>
      </c>
      <c r="J16" s="21">
        <f t="shared" si="1"/>
        <v>0.43189978974652199</v>
      </c>
      <c r="K16" s="21">
        <f t="shared" si="1"/>
        <v>0</v>
      </c>
      <c r="L16" s="21">
        <f t="shared" ca="1" si="1"/>
        <v>0</v>
      </c>
      <c r="M16" s="21">
        <f t="shared" si="1"/>
        <v>0</v>
      </c>
      <c r="N16" s="21">
        <f t="shared" ca="1" si="1"/>
        <v>17521.668718469333</v>
      </c>
      <c r="O16" s="21">
        <f>O5</f>
        <v>23.45</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0.20338362256680947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37259.169865727934</v>
      </c>
      <c r="C20" s="23">
        <f t="shared" ref="C20:P20" ca="1" si="2">C16*C18</f>
        <v>217.70168067226894</v>
      </c>
      <c r="D20" s="23">
        <f t="shared" ca="1" si="2"/>
        <v>44328.280893530697</v>
      </c>
      <c r="E20" s="23">
        <f t="shared" si="2"/>
        <v>478.36030112097859</v>
      </c>
      <c r="F20" s="23">
        <f t="shared" ca="1" si="2"/>
        <v>8352.1006144221919</v>
      </c>
      <c r="G20" s="23">
        <f t="shared" si="2"/>
        <v>0</v>
      </c>
      <c r="H20" s="23">
        <f t="shared" si="2"/>
        <v>0</v>
      </c>
      <c r="I20" s="23">
        <f t="shared" si="2"/>
        <v>0</v>
      </c>
      <c r="J20" s="23">
        <f t="shared" si="2"/>
        <v>0.15289252557026878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51685.422646213898</v>
      </c>
      <c r="C26" s="39">
        <f>IF(ISERROR(B26*3.6/1000000/'E Balans VL '!Z12*100),0,B26*3.6/1000000/'E Balans VL '!Z12*100)</f>
        <v>1.0925479584179243</v>
      </c>
      <c r="D26" s="237" t="s">
        <v>754</v>
      </c>
      <c r="F26" s="6"/>
    </row>
    <row r="27" spans="1:18">
      <c r="A27" s="231" t="s">
        <v>53</v>
      </c>
      <c r="B27" s="33">
        <f>IF(ISERROR(TER_horeca_ele_kWh/1000),0,TER_horeca_ele_kWh/1000)</f>
        <v>18140.5405622572</v>
      </c>
      <c r="C27" s="39">
        <f>IF(ISERROR(B27*3.6/1000000/'E Balans VL '!Z9*100),0,B27*3.6/1000000/'E Balans VL '!Z9*100)</f>
        <v>1.4300120511980896</v>
      </c>
      <c r="D27" s="237" t="s">
        <v>754</v>
      </c>
      <c r="F27" s="6"/>
    </row>
    <row r="28" spans="1:18">
      <c r="A28" s="171" t="s">
        <v>52</v>
      </c>
      <c r="B28" s="33">
        <f>IF(ISERROR(TER_handel_ele_kWh/1000),0,TER_handel_ele_kWh/1000)</f>
        <v>41859.629807123601</v>
      </c>
      <c r="C28" s="39">
        <f>IF(ISERROR(B28*3.6/1000000/'E Balans VL '!Z13*100),0,B28*3.6/1000000/'E Balans VL '!Z13*100)</f>
        <v>1.2149355888594049</v>
      </c>
      <c r="D28" s="237" t="s">
        <v>754</v>
      </c>
      <c r="F28" s="6"/>
    </row>
    <row r="29" spans="1:18">
      <c r="A29" s="231" t="s">
        <v>51</v>
      </c>
      <c r="B29" s="33">
        <f>IF(ISERROR(TER_gezond_ele_kWh/1000),0,TER_gezond_ele_kWh/1000)</f>
        <v>29672.783154730801</v>
      </c>
      <c r="C29" s="39">
        <f>IF(ISERROR(B29*3.6/1000000/'E Balans VL '!Z10*100),0,B29*3.6/1000000/'E Balans VL '!Z10*100)</f>
        <v>3.1250313061538062</v>
      </c>
      <c r="D29" s="237" t="s">
        <v>754</v>
      </c>
      <c r="F29" s="6"/>
    </row>
    <row r="30" spans="1:18">
      <c r="A30" s="231" t="s">
        <v>50</v>
      </c>
      <c r="B30" s="33">
        <f>IF(ISERROR(TER_ander_ele_kWh/1000),0,TER_ander_ele_kWh/1000)</f>
        <v>18107.970756458202</v>
      </c>
      <c r="C30" s="39">
        <f>IF(ISERROR(B30*3.6/1000000/'E Balans VL '!Z14*100),0,B30*3.6/1000000/'E Balans VL '!Z14*100)</f>
        <v>1.3356478560280411</v>
      </c>
      <c r="D30" s="237" t="s">
        <v>754</v>
      </c>
      <c r="F30" s="6"/>
    </row>
    <row r="31" spans="1:18">
      <c r="A31" s="231" t="s">
        <v>55</v>
      </c>
      <c r="B31" s="33">
        <f>IF(ISERROR(TER_onderwijs_ele_kWh/1000),0,TER_onderwijs_ele_kWh/1000)</f>
        <v>7046.65793527804</v>
      </c>
      <c r="C31" s="39">
        <f>IF(ISERROR(B31*3.6/1000000/'E Balans VL '!Z11*100),0,B31*3.6/1000000/'E Balans VL '!Z11*100)</f>
        <v>1.7500152502266053</v>
      </c>
      <c r="D31" s="237" t="s">
        <v>754</v>
      </c>
    </row>
    <row r="32" spans="1:18">
      <c r="A32" s="231" t="s">
        <v>260</v>
      </c>
      <c r="B32" s="33">
        <f>IF(ISERROR(TER_rest_ele_kWh/1000),0,TER_rest_ele_kWh/1000)</f>
        <v>16042.255237903</v>
      </c>
      <c r="C32" s="39">
        <f>IF(ISERROR(B32*3.6/1000000/'E Balans VL '!Z8*100),0,B32*3.6/1000000/'E Balans VL '!Z8*100)</f>
        <v>0.13200646667869748</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94393.061603080976</v>
      </c>
      <c r="C5" s="17">
        <f>IF(ISERROR('Eigen informatie GS &amp; warmtenet'!B59),0,'Eigen informatie GS &amp; warmtenet'!B59)</f>
        <v>0</v>
      </c>
      <c r="D5" s="30">
        <f>SUM(D6:D15)</f>
        <v>168469.35246352345</v>
      </c>
      <c r="E5" s="17">
        <f>SUM(E6:E15)</f>
        <v>5618.310399988166</v>
      </c>
      <c r="F5" s="17">
        <f>SUM(F6:F15)</f>
        <v>19564.600940515287</v>
      </c>
      <c r="G5" s="18"/>
      <c r="H5" s="17"/>
      <c r="I5" s="17"/>
      <c r="J5" s="17">
        <f>SUM(J6:J15)</f>
        <v>149.91782313654929</v>
      </c>
      <c r="K5" s="17"/>
      <c r="L5" s="17"/>
      <c r="M5" s="17"/>
      <c r="N5" s="17">
        <f>SUM(N6:N15)</f>
        <v>54077.215041579722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15689.222891453599</v>
      </c>
      <c r="C8" s="33"/>
      <c r="D8" s="37">
        <f>IF( ISERROR(IND_metaal_Gas_kWH/1000),0,IND_metaal_Gas_kWH/1000)*0.902</f>
        <v>13610.897853676957</v>
      </c>
      <c r="E8" s="33">
        <f>C30*'E Balans VL '!I18/100/3.6*1000000</f>
        <v>144.24725169134376</v>
      </c>
      <c r="F8" s="33">
        <f>C30*'E Balans VL '!L18/100/3.6*1000000+C30*'E Balans VL '!N18/100/3.6*1000000</f>
        <v>1471.1267601139225</v>
      </c>
      <c r="G8" s="34"/>
      <c r="H8" s="33"/>
      <c r="I8" s="33"/>
      <c r="J8" s="40">
        <f>C30*'E Balans VL '!D18/100/3.6*1000000+C30*'E Balans VL '!E18/100/3.6*1000000</f>
        <v>0</v>
      </c>
      <c r="K8" s="33"/>
      <c r="L8" s="33"/>
      <c r="M8" s="33"/>
      <c r="N8" s="33">
        <f>C30*'E Balans VL '!Y18/100/3.6*1000000</f>
        <v>223.83269207924928</v>
      </c>
      <c r="O8" s="33"/>
      <c r="P8" s="33"/>
      <c r="R8" s="32"/>
    </row>
    <row r="9" spans="1:18">
      <c r="A9" s="6" t="s">
        <v>33</v>
      </c>
      <c r="B9" s="37">
        <f t="shared" si="0"/>
        <v>10760.190505045499</v>
      </c>
      <c r="C9" s="33"/>
      <c r="D9" s="37">
        <f>IF( ISERROR(IND_andere_gas_kWh/1000),0,IND_andere_gas_kWh/1000)*0.902</f>
        <v>8968.8054274140213</v>
      </c>
      <c r="E9" s="33">
        <f>C31*'E Balans VL '!I19/100/3.6*1000000</f>
        <v>3145.4131608263569</v>
      </c>
      <c r="F9" s="33">
        <f>C31*'E Balans VL '!L19/100/3.6*1000000+C31*'E Balans VL '!N19/100/3.6*1000000</f>
        <v>8646.6275423868174</v>
      </c>
      <c r="G9" s="34"/>
      <c r="H9" s="33"/>
      <c r="I9" s="33"/>
      <c r="J9" s="40">
        <f>C31*'E Balans VL '!D19/100/3.6*1000000+C31*'E Balans VL '!E19/100/3.6*1000000</f>
        <v>0</v>
      </c>
      <c r="K9" s="33"/>
      <c r="L9" s="33"/>
      <c r="M9" s="33"/>
      <c r="N9" s="33">
        <f>C31*'E Balans VL '!Y19/100/3.6*1000000</f>
        <v>3555.3338215900544</v>
      </c>
      <c r="O9" s="33"/>
      <c r="P9" s="33"/>
      <c r="R9" s="32"/>
    </row>
    <row r="10" spans="1:18">
      <c r="A10" s="6" t="s">
        <v>41</v>
      </c>
      <c r="B10" s="37">
        <f t="shared" si="0"/>
        <v>9867.3037227205714</v>
      </c>
      <c r="C10" s="33"/>
      <c r="D10" s="37">
        <f>IF( ISERROR(IND_voed_gas_kWh/1000),0,IND_voed_gas_kWh/1000)*0.902</f>
        <v>15770.314487700964</v>
      </c>
      <c r="E10" s="33">
        <f>C32*'E Balans VL '!I20/100/3.6*1000000</f>
        <v>20.874434019771634</v>
      </c>
      <c r="F10" s="33">
        <f>C32*'E Balans VL '!L20/100/3.6*1000000+C32*'E Balans VL '!N20/100/3.6*1000000</f>
        <v>627.37324984576003</v>
      </c>
      <c r="G10" s="34"/>
      <c r="H10" s="33"/>
      <c r="I10" s="33"/>
      <c r="J10" s="40">
        <f>C32*'E Balans VL '!D20/100/3.6*1000000+C32*'E Balans VL '!E20/100/3.6*1000000</f>
        <v>0</v>
      </c>
      <c r="K10" s="33"/>
      <c r="L10" s="33"/>
      <c r="M10" s="33"/>
      <c r="N10" s="33">
        <f>C32*'E Balans VL '!Y20/100/3.6*1000000</f>
        <v>680.94132980012216</v>
      </c>
      <c r="O10" s="33"/>
      <c r="P10" s="33"/>
      <c r="R10" s="32"/>
    </row>
    <row r="11" spans="1:18">
      <c r="A11" s="6" t="s">
        <v>40</v>
      </c>
      <c r="B11" s="37">
        <f t="shared" si="0"/>
        <v>2954.8003816007704</v>
      </c>
      <c r="C11" s="33"/>
      <c r="D11" s="37">
        <f>IF( ISERROR(IND_textiel_gas_kWh/1000),0,IND_textiel_gas_kWh/1000)*0.902</f>
        <v>607.42969760394567</v>
      </c>
      <c r="E11" s="33">
        <f>C33*'E Balans VL '!I21/100/3.6*1000000</f>
        <v>8.7755023805870653</v>
      </c>
      <c r="F11" s="33">
        <f>C33*'E Balans VL '!L21/100/3.6*1000000+C33*'E Balans VL '!N21/100/3.6*1000000</f>
        <v>298.51595997592216</v>
      </c>
      <c r="G11" s="34"/>
      <c r="H11" s="33"/>
      <c r="I11" s="33"/>
      <c r="J11" s="40">
        <f>C33*'E Balans VL '!D21/100/3.6*1000000+C33*'E Balans VL '!E21/100/3.6*1000000</f>
        <v>0</v>
      </c>
      <c r="K11" s="33"/>
      <c r="L11" s="33"/>
      <c r="M11" s="33"/>
      <c r="N11" s="33">
        <f>C33*'E Balans VL '!Y21/100/3.6*1000000</f>
        <v>162.96667086004197</v>
      </c>
      <c r="O11" s="33"/>
      <c r="P11" s="33"/>
      <c r="R11" s="32"/>
    </row>
    <row r="12" spans="1:18">
      <c r="A12" s="6" t="s">
        <v>37</v>
      </c>
      <c r="B12" s="37">
        <f t="shared" si="0"/>
        <v>28.409379032128303</v>
      </c>
      <c r="C12" s="33"/>
      <c r="D12" s="37">
        <f>IF( ISERROR(IND_min_gas_kWh/1000),0,IND_min_gas_kWh/1000)*0.902</f>
        <v>167.98974842823196</v>
      </c>
      <c r="E12" s="33">
        <f>C34*'E Balans VL '!I22/100/3.6*1000000</f>
        <v>0.82347091786037419</v>
      </c>
      <c r="F12" s="33">
        <f>C34*'E Balans VL '!L22/100/3.6*1000000+C34*'E Balans VL '!N22/100/3.6*1000000</f>
        <v>9.7674655443836684</v>
      </c>
      <c r="G12" s="34"/>
      <c r="H12" s="33"/>
      <c r="I12" s="33"/>
      <c r="J12" s="40">
        <f>C34*'E Balans VL '!D22/100/3.6*1000000+C34*'E Balans VL '!E22/100/3.6*1000000</f>
        <v>4.6685170788458998E-2</v>
      </c>
      <c r="K12" s="33"/>
      <c r="L12" s="33"/>
      <c r="M12" s="33"/>
      <c r="N12" s="33">
        <f>C34*'E Balans VL '!Y22/100/3.6*1000000</f>
        <v>6.2192799297337347</v>
      </c>
      <c r="O12" s="33"/>
      <c r="P12" s="33"/>
      <c r="R12" s="32"/>
    </row>
    <row r="13" spans="1:18">
      <c r="A13" s="6" t="s">
        <v>39</v>
      </c>
      <c r="B13" s="37">
        <f t="shared" si="0"/>
        <v>13826.800021033199</v>
      </c>
      <c r="C13" s="33"/>
      <c r="D13" s="37">
        <f>IF( ISERROR(IND_papier_gas_kWh/1000),0,IND_papier_gas_kWh/1000)*0.902</f>
        <v>12383.800008047079</v>
      </c>
      <c r="E13" s="33">
        <f>C35*'E Balans VL '!I23/100/3.6*1000000</f>
        <v>19.617067065229122</v>
      </c>
      <c r="F13" s="33">
        <f>C35*'E Balans VL '!L23/100/3.6*1000000+C35*'E Balans VL '!N23/100/3.6*1000000</f>
        <v>337.56418063366073</v>
      </c>
      <c r="G13" s="34"/>
      <c r="H13" s="33"/>
      <c r="I13" s="33"/>
      <c r="J13" s="40">
        <f>C35*'E Balans VL '!D23/100/3.6*1000000+C35*'E Balans VL '!E23/100/3.6*1000000</f>
        <v>2.1384444371619105</v>
      </c>
      <c r="K13" s="33"/>
      <c r="L13" s="33"/>
      <c r="M13" s="33"/>
      <c r="N13" s="33">
        <f>C35*'E Balans VL '!Y23/100/3.6*1000000</f>
        <v>40191.234632765481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41266.334702195199</v>
      </c>
      <c r="C15" s="33"/>
      <c r="D15" s="37">
        <f>IF( ISERROR(IND_rest_gas_kWh/1000),0,IND_rest_gas_kWh/1000)*0.902</f>
        <v>116960.11524065225</v>
      </c>
      <c r="E15" s="33">
        <f>C37*'E Balans VL '!I15/100/3.6*1000000</f>
        <v>2278.5595130870165</v>
      </c>
      <c r="F15" s="33">
        <f>C37*'E Balans VL '!L15/100/3.6*1000000+C37*'E Balans VL '!N15/100/3.6*1000000</f>
        <v>8173.6257820148203</v>
      </c>
      <c r="G15" s="34"/>
      <c r="H15" s="33"/>
      <c r="I15" s="33"/>
      <c r="J15" s="40">
        <f>C37*'E Balans VL '!D15/100/3.6*1000000+C37*'E Balans VL '!E15/100/3.6*1000000</f>
        <v>147.73269352859893</v>
      </c>
      <c r="K15" s="33"/>
      <c r="L15" s="33"/>
      <c r="M15" s="33"/>
      <c r="N15" s="33">
        <f>C37*'E Balans VL '!Y15/100/3.6*1000000</f>
        <v>9256.6866145550412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94393.061603080976</v>
      </c>
      <c r="C18" s="21">
        <f>C5+C16</f>
        <v>0</v>
      </c>
      <c r="D18" s="21">
        <f>MAX((D5+D16),0)</f>
        <v>168469.35246352345</v>
      </c>
      <c r="E18" s="21">
        <f>MAX((E5+E16),0)</f>
        <v>5618.310399988166</v>
      </c>
      <c r="F18" s="21">
        <f>MAX((F5+F16),0)</f>
        <v>19564.600940515287</v>
      </c>
      <c r="G18" s="21"/>
      <c r="H18" s="21"/>
      <c r="I18" s="21"/>
      <c r="J18" s="21">
        <f>MAX((J5+J16),0)</f>
        <v>149.91782313654929</v>
      </c>
      <c r="K18" s="21"/>
      <c r="L18" s="21">
        <f>MAX((L5+L16),0)</f>
        <v>0</v>
      </c>
      <c r="M18" s="21"/>
      <c r="N18" s="21">
        <f>MAX((N5+N16),0)</f>
        <v>54077.215041579722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0.20338362256680947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19198.002814006617</v>
      </c>
      <c r="C22" s="23">
        <f ca="1">C18*C20</f>
        <v>0</v>
      </c>
      <c r="D22" s="23">
        <f>D18*D20</f>
        <v>34030.809197631737</v>
      </c>
      <c r="E22" s="23">
        <f>E18*E20</f>
        <v>1275.3564607973137</v>
      </c>
      <c r="F22" s="23">
        <f>F18*F20</f>
        <v>5223.7484511175817</v>
      </c>
      <c r="G22" s="23"/>
      <c r="H22" s="23"/>
      <c r="I22" s="23"/>
      <c r="J22" s="23">
        <f>J18*J20</f>
        <v>53.070909390338443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15689.222891453599</v>
      </c>
      <c r="C30" s="39">
        <f>IF(ISERROR(B30*3.6/1000000/'E Balans VL '!Z18*100),0,B30*3.6/1000000/'E Balans VL '!Z18*100)</f>
        <v>0.88914849105739269</v>
      </c>
      <c r="D30" s="237" t="s">
        <v>754</v>
      </c>
    </row>
    <row r="31" spans="1:18">
      <c r="A31" s="6" t="s">
        <v>33</v>
      </c>
      <c r="B31" s="37">
        <f>IF( ISERROR(IND_ander_ele_kWh/1000),0,IND_ander_ele_kWh/1000)</f>
        <v>10760.190505045499</v>
      </c>
      <c r="C31" s="39">
        <f>IF(ISERROR(B31*3.6/1000000/'E Balans VL '!Z19*100),0,B31*3.6/1000000/'E Balans VL '!Z19*100)</f>
        <v>0.4880374366554121</v>
      </c>
      <c r="D31" s="237" t="s">
        <v>754</v>
      </c>
    </row>
    <row r="32" spans="1:18">
      <c r="A32" s="171" t="s">
        <v>41</v>
      </c>
      <c r="B32" s="37">
        <f>IF( ISERROR(IND_voed_ele_kWh/1000),0,IND_voed_ele_kWh/1000)</f>
        <v>9867.3037227205714</v>
      </c>
      <c r="C32" s="39">
        <f>IF(ISERROR(B32*3.6/1000000/'E Balans VL '!Z20*100),0,B32*3.6/1000000/'E Balans VL '!Z20*100)</f>
        <v>0.30524049792046376</v>
      </c>
      <c r="D32" s="237" t="s">
        <v>754</v>
      </c>
    </row>
    <row r="33" spans="1:5">
      <c r="A33" s="171" t="s">
        <v>40</v>
      </c>
      <c r="B33" s="37">
        <f>IF( ISERROR(IND_textiel_ele_kWh/1000),0,IND_textiel_ele_kWh/1000)</f>
        <v>2954.8003816007704</v>
      </c>
      <c r="C33" s="39">
        <f>IF(ISERROR(B33*3.6/1000000/'E Balans VL '!Z21*100),0,B33*3.6/1000000/'E Balans VL '!Z21*100)</f>
        <v>0.38527312548206377</v>
      </c>
      <c r="D33" s="237" t="s">
        <v>754</v>
      </c>
    </row>
    <row r="34" spans="1:5">
      <c r="A34" s="171" t="s">
        <v>37</v>
      </c>
      <c r="B34" s="37">
        <f>IF( ISERROR(IND_min_ele_kWh/1000),0,IND_min_ele_kWh/1000)</f>
        <v>28.409379032128303</v>
      </c>
      <c r="C34" s="39">
        <f>IF(ISERROR(B34*3.6/1000000/'E Balans VL '!Z22*100),0,B34*3.6/1000000/'E Balans VL '!Z22*100)</f>
        <v>5.1099609254622409E-3</v>
      </c>
      <c r="D34" s="237" t="s">
        <v>754</v>
      </c>
    </row>
    <row r="35" spans="1:5">
      <c r="A35" s="171" t="s">
        <v>39</v>
      </c>
      <c r="B35" s="37">
        <f>IF( ISERROR(IND_papier_ele_kWh/1000),0,IND_papier_ele_kWh/1000)</f>
        <v>13826.800021033199</v>
      </c>
      <c r="C35" s="39">
        <f>IF(ISERROR(B35*3.6/1000000/'E Balans VL '!Z22*100),0,B35*3.6/1000000/'E Balans VL '!Z22*100)</f>
        <v>2.4870099325915125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41266.334702195199</v>
      </c>
      <c r="C37" s="39">
        <f>IF(ISERROR(B37*3.6/1000000/'E Balans VL '!Z15*100),0,B37*3.6/1000000/'E Balans VL '!Z15*100)</f>
        <v>0.32708638239381177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2859.40568293357</v>
      </c>
      <c r="C5" s="17">
        <f>'Eigen informatie GS &amp; warmtenet'!B60</f>
        <v>0</v>
      </c>
      <c r="D5" s="30">
        <f>IF(ISERROR(SUM(LB_lb_gas_kWh,LB_rest_gas_kWh,onbekend_gas_kWh)/1000),0,SUM(LB_lb_gas_kWh,LB_rest_gas_kWh,onbekend_gas_kWh)/1000)*0.902</f>
        <v>25641.358156205064</v>
      </c>
      <c r="E5" s="17">
        <f>B17*'E Balans VL '!I25/3.6*1000000/100</f>
        <v>84.04666665442231</v>
      </c>
      <c r="F5" s="17">
        <f>B17*('E Balans VL '!L25/3.6*1000000+'E Balans VL '!N25/3.6*1000000)/100</f>
        <v>11912.129560928235</v>
      </c>
      <c r="G5" s="18"/>
      <c r="H5" s="17"/>
      <c r="I5" s="17"/>
      <c r="J5" s="17">
        <f>('E Balans VL '!D25+'E Balans VL '!E25)/3.6*1000000*landbouw!B17/100</f>
        <v>414.26647701712068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2859.40568293357</v>
      </c>
      <c r="C8" s="21">
        <f>C5+C6</f>
        <v>0</v>
      </c>
      <c r="D8" s="21">
        <f>MAX((D5+D6),0)</f>
        <v>25641.358156205064</v>
      </c>
      <c r="E8" s="21">
        <f>MAX((E5+E6),0)</f>
        <v>84.04666665442231</v>
      </c>
      <c r="F8" s="21">
        <f>MAX((F5+F6),0)</f>
        <v>11912.129560928235</v>
      </c>
      <c r="G8" s="21"/>
      <c r="H8" s="21"/>
      <c r="I8" s="21"/>
      <c r="J8" s="21">
        <f>MAX((J5+J6),0)</f>
        <v>414.26647701712068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0.20338362256680947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581.55628618315131</v>
      </c>
      <c r="C12" s="23">
        <f ca="1">C8*C10</f>
        <v>0</v>
      </c>
      <c r="D12" s="23">
        <f>D8*D10</f>
        <v>5179.5543475534232</v>
      </c>
      <c r="E12" s="23">
        <f>E8*E10</f>
        <v>19.078593330553865</v>
      </c>
      <c r="F12" s="23">
        <f>F8*F10</f>
        <v>3180.538592767839</v>
      </c>
      <c r="G12" s="23"/>
      <c r="H12" s="23"/>
      <c r="I12" s="23"/>
      <c r="J12" s="23">
        <f>J8*J10</f>
        <v>146.65033286406072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0.40575863752001279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418.35968298887946</v>
      </c>
      <c r="C26" s="247">
        <f>B26*'GWP N2O_CH4'!B5</f>
        <v>8785.5533427664686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110.10070526394912</v>
      </c>
      <c r="C27" s="247">
        <f>B27*'GWP N2O_CH4'!B5</f>
        <v>2312.1148105429315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5.5444775628452794</v>
      </c>
      <c r="C28" s="247">
        <f>B28*'GWP N2O_CH4'!B4</f>
        <v>1718.7880444820366</v>
      </c>
      <c r="D28" s="50"/>
    </row>
    <row r="29" spans="1:4">
      <c r="A29" s="41" t="s">
        <v>277</v>
      </c>
      <c r="B29" s="247">
        <f>B34*'ha_N2O bodem landbouw'!B4</f>
        <v>23.482778234438431</v>
      </c>
      <c r="C29" s="247">
        <f>B29*'GWP N2O_CH4'!B4</f>
        <v>7279.6612526759136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5.3586890678449257E-3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8.1453501903084192E-4</v>
      </c>
      <c r="C5" s="463" t="s">
        <v>211</v>
      </c>
      <c r="D5" s="448">
        <f>SUM(D6:D11)</f>
        <v>2.7791961305614638E-3</v>
      </c>
      <c r="E5" s="448">
        <f>SUM(E6:E11)</f>
        <v>4.1251772960556356E-3</v>
      </c>
      <c r="F5" s="461" t="s">
        <v>211</v>
      </c>
      <c r="G5" s="448">
        <f>SUM(G6:G11)</f>
        <v>1.9701835626602007</v>
      </c>
      <c r="H5" s="448">
        <f>SUM(H6:H11)</f>
        <v>0.31984611296991367</v>
      </c>
      <c r="I5" s="463" t="s">
        <v>211</v>
      </c>
      <c r="J5" s="463" t="s">
        <v>211</v>
      </c>
      <c r="K5" s="463" t="s">
        <v>211</v>
      </c>
      <c r="L5" s="463" t="s">
        <v>211</v>
      </c>
      <c r="M5" s="448">
        <f>SUM(M6:M11)</f>
        <v>0.12460306887764971</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3.1810029234615584E-4</v>
      </c>
      <c r="C6" s="449"/>
      <c r="D6" s="962">
        <f>vkm_2011_GW_PW*SUMIFS(TableVerdeelsleutelVkm[CNG],TableVerdeelsleutelVkm[Voertuigtype],"Lichte voertuigen")*SUMIFS(TableECFTransport[EnergieConsumptieFactor (PJ per km)],TableECFTransport[Index],CONCATENATE($A6,"_CNG_CNG"))</f>
        <v>9.5411830407767743E-4</v>
      </c>
      <c r="E6" s="962">
        <f>vkm_2011_GW_PW*SUMIFS(TableVerdeelsleutelVkm[LPG],TableVerdeelsleutelVkm[Voertuigtype],"Lichte voertuigen")*SUMIFS(TableECFTransport[EnergieConsumptieFactor (PJ per km)],TableECFTransport[Index],CONCATENATE($A6,"_LPG_LPG"))</f>
        <v>1.3034626557102398E-3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0.33701569110982899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0.10850099766349545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2.2910276606164619E-2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0.26397087832736132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8.0438888068415495E-5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1.5425581613988873E-2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1.2184089694065409E-4</v>
      </c>
      <c r="C8" s="449"/>
      <c r="D8" s="451">
        <f>vkm_2011_NGW_PW*SUMIFS(TableVerdeelsleutelVkm[CNG],TableVerdeelsleutelVkm[Voertuigtype],"Lichte voertuigen")*SUMIFS(TableECFTransport[EnergieConsumptieFactor (PJ per km)],TableECFTransport[Index],CONCATENATE($A8,"_CNG_CNG"))</f>
        <v>6.4977910211649816E-4</v>
      </c>
      <c r="E8" s="451">
        <f>vkm_2011_NGW_PW*SUMIFS(TableVerdeelsleutelVkm[LPG],TableVerdeelsleutelVkm[Voertuigtype],"Lichte voertuigen")*SUMIFS(TableECFTransport[EnergieConsumptieFactor (PJ per km)],TableECFTransport[Index],CONCATENATE($A8,"_LPG_LPG"))</f>
        <v>8.2210314178800118E-4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0.19808173949347027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7.1806810130005852E-2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1.370397025452403E-2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2.9487697799572363E-2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8.4592402601075734E-6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1.7231475259435406E-3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3.7459382974403194E-4</v>
      </c>
      <c r="C10" s="449"/>
      <c r="D10" s="451">
        <f>vkm_2011_SW_PW*SUMIFS(TableVerdeelsleutelVkm[CNG],TableVerdeelsleutelVkm[Voertuigtype],"Lichte voertuigen")*SUMIFS(TableECFTransport[EnergieConsumptieFactor (PJ per km)],TableECFTransport[Index],CONCATENATE($A10,"_CNG_CNG"))</f>
        <v>1.1752987243672883E-3</v>
      </c>
      <c r="E10" s="451">
        <f>vkm_2011_SW_PW*SUMIFS(TableVerdeelsleutelVkm[LPG],TableVerdeelsleutelVkm[Voertuigtype],"Lichte voertuigen")*SUMIFS(TableECFTransport[EnergieConsumptieFactor (PJ per km)],TableECFTransport[Index],CONCATENATE($A10,"_LPG_LPG"))</f>
        <v>1.9996114985573951E-3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0.46091498093242733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0.13922540430240535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3.1061018615946217E-2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0.68071257499754045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2.2400274567850625E-4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3.9779074261082424E-2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226.25972750856718</v>
      </c>
      <c r="C14" s="21"/>
      <c r="D14" s="21">
        <f t="shared" ref="D14:M14" si="0">((D5)*10^9/3600)+D12</f>
        <v>771.99892515596218</v>
      </c>
      <c r="E14" s="21">
        <f t="shared" si="0"/>
        <v>1145.8825822376766</v>
      </c>
      <c r="F14" s="21"/>
      <c r="G14" s="21">
        <f t="shared" si="0"/>
        <v>547273.21185005573</v>
      </c>
      <c r="H14" s="21">
        <f t="shared" si="0"/>
        <v>88846.142491642677</v>
      </c>
      <c r="I14" s="21"/>
      <c r="J14" s="21"/>
      <c r="K14" s="21"/>
      <c r="L14" s="21"/>
      <c r="M14" s="21">
        <f t="shared" si="0"/>
        <v>34611.963577124916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0.20338362256680947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46.017523021671586</v>
      </c>
      <c r="C18" s="23"/>
      <c r="D18" s="23">
        <f t="shared" ref="D18:M18" si="1">D14*D16</f>
        <v>155.94378288150438</v>
      </c>
      <c r="E18" s="23">
        <f t="shared" si="1"/>
        <v>260.11534616795262</v>
      </c>
      <c r="F18" s="23"/>
      <c r="G18" s="23">
        <f t="shared" si="1"/>
        <v>146121.94756396487</v>
      </c>
      <c r="H18" s="23">
        <f t="shared" si="1"/>
        <v>22122.689480419027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3.6825755650544273E-2</v>
      </c>
      <c r="H50" s="321">
        <f t="shared" si="2"/>
        <v>0</v>
      </c>
      <c r="I50" s="321">
        <f t="shared" si="2"/>
        <v>0</v>
      </c>
      <c r="J50" s="321">
        <f t="shared" si="2"/>
        <v>0</v>
      </c>
      <c r="K50" s="321">
        <f t="shared" si="2"/>
        <v>0</v>
      </c>
      <c r="L50" s="321">
        <f t="shared" si="2"/>
        <v>0</v>
      </c>
      <c r="M50" s="321">
        <f t="shared" si="2"/>
        <v>2.0915403508396761E-3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3.6825755650544273E-2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2.0915403508396761E-3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10229.37656959563</v>
      </c>
      <c r="H54" s="21">
        <f t="shared" si="3"/>
        <v>0</v>
      </c>
      <c r="I54" s="21">
        <f t="shared" si="3"/>
        <v>0</v>
      </c>
      <c r="J54" s="21">
        <f t="shared" si="3"/>
        <v>0</v>
      </c>
      <c r="K54" s="21">
        <f t="shared" si="3"/>
        <v>0</v>
      </c>
      <c r="L54" s="21">
        <f t="shared" si="3"/>
        <v>0</v>
      </c>
      <c r="M54" s="21">
        <f t="shared" si="3"/>
        <v>580.98343078879896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0.20338362256680947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2731.2435440820332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10334.121279407986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21797.227426758982</v>
      </c>
      <c r="C6" s="1204"/>
      <c r="D6" s="1189"/>
      <c r="E6" s="1189"/>
      <c r="F6" s="1207"/>
      <c r="G6" s="1210"/>
      <c r="H6" s="1201"/>
      <c r="I6" s="1189"/>
      <c r="J6" s="1189"/>
      <c r="K6" s="1189"/>
      <c r="L6" s="1193"/>
      <c r="M6" s="575"/>
      <c r="N6" s="1167"/>
      <c r="O6" s="1168"/>
      <c r="Q6" s="573"/>
      <c r="R6" s="1155"/>
      <c r="S6" s="1155"/>
    </row>
    <row r="7" spans="1:19" s="563" customFormat="1">
      <c r="A7" s="576" t="s">
        <v>252</v>
      </c>
      <c r="B7" s="577">
        <f>N57</f>
        <v>641.25</v>
      </c>
      <c r="C7" s="578">
        <f>B100</f>
        <v>754.41176470588255</v>
      </c>
      <c r="D7" s="579"/>
      <c r="E7" s="579">
        <f>E100</f>
        <v>0</v>
      </c>
      <c r="F7" s="580"/>
      <c r="G7" s="581"/>
      <c r="H7" s="579">
        <f>I100</f>
        <v>0</v>
      </c>
      <c r="I7" s="579">
        <f>G100+F100</f>
        <v>0</v>
      </c>
      <c r="J7" s="579">
        <f>H100+D100+C100</f>
        <v>0</v>
      </c>
      <c r="K7" s="579"/>
      <c r="L7" s="582"/>
      <c r="M7" s="583">
        <f>C7*$C$11+D7*$D$11+E7*$E$11+F7*$F$11+G7*$G$11+H7*$H$11+I7*$I$11+J7*$J$11</f>
        <v>152.39117647058828</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32772.598706166966</v>
      </c>
      <c r="C9" s="594">
        <f t="shared" ref="C9:L9" si="0">SUM(C7:C8)</f>
        <v>754.41176470588255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152.39117647058828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916.07142857142856</v>
      </c>
      <c r="C16" s="610">
        <f>B101</f>
        <v>1077.7310924369749</v>
      </c>
      <c r="D16" s="611"/>
      <c r="E16" s="611">
        <f>E101</f>
        <v>0</v>
      </c>
      <c r="F16" s="612"/>
      <c r="G16" s="613"/>
      <c r="H16" s="610">
        <f>I101</f>
        <v>0</v>
      </c>
      <c r="I16" s="611">
        <f>G101+F101</f>
        <v>0</v>
      </c>
      <c r="J16" s="611">
        <f>H101+D101+C101</f>
        <v>0</v>
      </c>
      <c r="K16" s="611"/>
      <c r="L16" s="614"/>
      <c r="M16" s="615">
        <f>C16*$C$21+E16*$E$21+H16*$H$21+I16*$I$21+J16*$J$21+D16*$D$21+F16*$F$21+G16*$G$21+K16*$K$21+L16*$L$21</f>
        <v>217.70168067226894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916.07142857142856</v>
      </c>
      <c r="C19" s="593">
        <f>SUM(C16:C18)</f>
        <v>1077.7310924369749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217.70168067226894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34022</v>
      </c>
      <c r="C27" s="851">
        <v>8500</v>
      </c>
      <c r="D27" s="672" t="s">
        <v>809</v>
      </c>
      <c r="E27" s="671" t="s">
        <v>810</v>
      </c>
      <c r="F27" s="671" t="s">
        <v>811</v>
      </c>
      <c r="G27" s="671" t="s">
        <v>812</v>
      </c>
      <c r="H27" s="671" t="s">
        <v>813</v>
      </c>
      <c r="I27" s="671" t="s">
        <v>810</v>
      </c>
      <c r="J27" s="850">
        <v>39953</v>
      </c>
      <c r="K27" s="850">
        <v>40179</v>
      </c>
      <c r="L27" s="671" t="s">
        <v>814</v>
      </c>
      <c r="M27" s="671">
        <v>142.5</v>
      </c>
      <c r="N27" s="671">
        <v>641.25</v>
      </c>
      <c r="O27" s="671">
        <v>916.07142857142856</v>
      </c>
      <c r="P27" s="671">
        <v>1832.1428571428573</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142.5</v>
      </c>
      <c r="N57" s="629">
        <f>SUM(N27:N56)</f>
        <v>641.25</v>
      </c>
      <c r="O57" s="629">
        <f t="shared" ref="O57:W57" si="2">SUM(O27:O56)</f>
        <v>916.07142857142856</v>
      </c>
      <c r="P57" s="629">
        <f t="shared" si="2"/>
        <v>1832.1428571428573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142.5</v>
      </c>
      <c r="N59" s="629">
        <f ca="1">SUMIF($Z$27:AB56,"tertiair",N27:N56)</f>
        <v>641.25</v>
      </c>
      <c r="O59" s="629">
        <f ca="1">SUMIF($Z$27:AC56,"tertiair",O27:O56)</f>
        <v>916.07142857142856</v>
      </c>
      <c r="P59" s="629">
        <f ca="1">SUMIF($Z$27:AD56,"tertiair",P27:P56)</f>
        <v>1832.1428571428573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754.41176470588255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1077.7310924369749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189315.52909996477</v>
      </c>
      <c r="D10" s="718">
        <f ca="1">tertiair!C16</f>
        <v>916.07142857142856</v>
      </c>
      <c r="E10" s="718">
        <f ca="1">tertiair!D16</f>
        <v>219446.93511648857</v>
      </c>
      <c r="F10" s="718">
        <f>tertiair!E16</f>
        <v>2107.3141018545311</v>
      </c>
      <c r="G10" s="718">
        <f ca="1">tertiair!F16</f>
        <v>31281.275709446407</v>
      </c>
      <c r="H10" s="718">
        <f>tertiair!G16</f>
        <v>0</v>
      </c>
      <c r="I10" s="718">
        <f>tertiair!H16</f>
        <v>0</v>
      </c>
      <c r="J10" s="718">
        <f>tertiair!I16</f>
        <v>0</v>
      </c>
      <c r="K10" s="718">
        <f>tertiair!J16</f>
        <v>0.43189978974652199</v>
      </c>
      <c r="L10" s="718">
        <f>tertiair!K16</f>
        <v>0</v>
      </c>
      <c r="M10" s="718">
        <f ca="1">tertiair!L16</f>
        <v>0</v>
      </c>
      <c r="N10" s="718">
        <f>tertiair!M16</f>
        <v>0</v>
      </c>
      <c r="O10" s="718">
        <f ca="1">tertiair!N16</f>
        <v>17521.668718469333</v>
      </c>
      <c r="P10" s="718">
        <f>tertiair!O16</f>
        <v>23.45</v>
      </c>
      <c r="Q10" s="719">
        <f>tertiair!P16</f>
        <v>247.86666666666667</v>
      </c>
      <c r="R10" s="721">
        <f ca="1">SUM(C10:Q10)</f>
        <v>460860.54274125135</v>
      </c>
      <c r="S10" s="67"/>
    </row>
    <row r="11" spans="1:19" s="474" customFormat="1">
      <c r="A11" s="870" t="s">
        <v>225</v>
      </c>
      <c r="B11" s="875"/>
      <c r="C11" s="718">
        <f>huishoudens!B8</f>
        <v>115692.18949556098</v>
      </c>
      <c r="D11" s="718">
        <f>huishoudens!C8</f>
        <v>0</v>
      </c>
      <c r="E11" s="718">
        <f>huishoudens!D8</f>
        <v>338893.8522766956</v>
      </c>
      <c r="F11" s="718">
        <f>huishoudens!E8</f>
        <v>8498.1624047583955</v>
      </c>
      <c r="G11" s="718">
        <f>huishoudens!F8</f>
        <v>27270.7211481495</v>
      </c>
      <c r="H11" s="718">
        <f>huishoudens!G8</f>
        <v>0</v>
      </c>
      <c r="I11" s="718">
        <f>huishoudens!H8</f>
        <v>0</v>
      </c>
      <c r="J11" s="718">
        <f>huishoudens!I8</f>
        <v>0</v>
      </c>
      <c r="K11" s="718">
        <f>huishoudens!J8</f>
        <v>0</v>
      </c>
      <c r="L11" s="718">
        <f>huishoudens!K8</f>
        <v>0</v>
      </c>
      <c r="M11" s="718">
        <f>huishoudens!L8</f>
        <v>0</v>
      </c>
      <c r="N11" s="718">
        <f>huishoudens!M8</f>
        <v>0</v>
      </c>
      <c r="O11" s="718">
        <f>huishoudens!N8</f>
        <v>41077.728401122695</v>
      </c>
      <c r="P11" s="718">
        <f>huishoudens!O8</f>
        <v>1124.0366666666669</v>
      </c>
      <c r="Q11" s="719">
        <f>huishoudens!P8</f>
        <v>2135.4666666666667</v>
      </c>
      <c r="R11" s="721">
        <f>SUM(C11:Q11)</f>
        <v>534692.15705962048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94393.061603080976</v>
      </c>
      <c r="D13" s="718">
        <f>industrie!C18</f>
        <v>0</v>
      </c>
      <c r="E13" s="718">
        <f>industrie!D18</f>
        <v>168469.35246352345</v>
      </c>
      <c r="F13" s="718">
        <f>industrie!E18</f>
        <v>5618.310399988166</v>
      </c>
      <c r="G13" s="718">
        <f>industrie!F18</f>
        <v>19564.600940515287</v>
      </c>
      <c r="H13" s="718">
        <f>industrie!G18</f>
        <v>0</v>
      </c>
      <c r="I13" s="718">
        <f>industrie!H18</f>
        <v>0</v>
      </c>
      <c r="J13" s="718">
        <f>industrie!I18</f>
        <v>0</v>
      </c>
      <c r="K13" s="718">
        <f>industrie!J18</f>
        <v>149.91782313654929</v>
      </c>
      <c r="L13" s="718">
        <f>industrie!K18</f>
        <v>0</v>
      </c>
      <c r="M13" s="718">
        <f>industrie!L18</f>
        <v>0</v>
      </c>
      <c r="N13" s="718">
        <f>industrie!M18</f>
        <v>0</v>
      </c>
      <c r="O13" s="718">
        <f>industrie!N18</f>
        <v>54077.215041579722</v>
      </c>
      <c r="P13" s="718">
        <f>industrie!O18</f>
        <v>0</v>
      </c>
      <c r="Q13" s="719">
        <f>industrie!P18</f>
        <v>0</v>
      </c>
      <c r="R13" s="721">
        <f>SUM(C13:Q13)</f>
        <v>342272.45827182417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399400.78019860666</v>
      </c>
      <c r="D15" s="723">
        <f t="shared" ref="D15:Q15" ca="1" si="0">SUM(D9:D14)</f>
        <v>916.07142857142856</v>
      </c>
      <c r="E15" s="723">
        <f t="shared" ca="1" si="0"/>
        <v>726810.13985670754</v>
      </c>
      <c r="F15" s="723">
        <f t="shared" si="0"/>
        <v>16223.786906601092</v>
      </c>
      <c r="G15" s="723">
        <f t="shared" ca="1" si="0"/>
        <v>78116.597798111194</v>
      </c>
      <c r="H15" s="723">
        <f t="shared" si="0"/>
        <v>0</v>
      </c>
      <c r="I15" s="723">
        <f t="shared" si="0"/>
        <v>0</v>
      </c>
      <c r="J15" s="723">
        <f t="shared" si="0"/>
        <v>0</v>
      </c>
      <c r="K15" s="723">
        <f t="shared" si="0"/>
        <v>150.34972292629581</v>
      </c>
      <c r="L15" s="723">
        <f t="shared" si="0"/>
        <v>0</v>
      </c>
      <c r="M15" s="723">
        <f t="shared" ca="1" si="0"/>
        <v>0</v>
      </c>
      <c r="N15" s="723">
        <f t="shared" si="0"/>
        <v>0</v>
      </c>
      <c r="O15" s="723">
        <f t="shared" ca="1" si="0"/>
        <v>112676.61216117175</v>
      </c>
      <c r="P15" s="723">
        <f t="shared" si="0"/>
        <v>1147.4866666666669</v>
      </c>
      <c r="Q15" s="724">
        <f t="shared" si="0"/>
        <v>2383.3333333333335</v>
      </c>
      <c r="R15" s="725">
        <f ca="1">SUM(R9:R14)</f>
        <v>1337825.1580726961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10229.37656959563</v>
      </c>
      <c r="I18" s="718">
        <f>transport!H54</f>
        <v>0</v>
      </c>
      <c r="J18" s="718">
        <f>transport!I54</f>
        <v>0</v>
      </c>
      <c r="K18" s="718">
        <f>transport!J54</f>
        <v>0</v>
      </c>
      <c r="L18" s="718">
        <f>transport!K54</f>
        <v>0</v>
      </c>
      <c r="M18" s="718">
        <f>transport!L54</f>
        <v>0</v>
      </c>
      <c r="N18" s="718">
        <f>transport!M54</f>
        <v>580.98343078879896</v>
      </c>
      <c r="O18" s="718">
        <f>transport!N54</f>
        <v>0</v>
      </c>
      <c r="P18" s="718">
        <f>transport!O54</f>
        <v>0</v>
      </c>
      <c r="Q18" s="719">
        <f>transport!P54</f>
        <v>0</v>
      </c>
      <c r="R18" s="721">
        <f>SUM(C18:Q18)</f>
        <v>10810.360000384429</v>
      </c>
      <c r="S18" s="67"/>
    </row>
    <row r="19" spans="1:19" s="474" customFormat="1" ht="15" thickBot="1">
      <c r="A19" s="870" t="s">
        <v>307</v>
      </c>
      <c r="B19" s="875"/>
      <c r="C19" s="727">
        <f>transport!B14</f>
        <v>226.25972750856718</v>
      </c>
      <c r="D19" s="727">
        <f>transport!C14</f>
        <v>0</v>
      </c>
      <c r="E19" s="727">
        <f>transport!D14</f>
        <v>771.99892515596218</v>
      </c>
      <c r="F19" s="727">
        <f>transport!E14</f>
        <v>1145.8825822376766</v>
      </c>
      <c r="G19" s="727">
        <f>transport!F14</f>
        <v>0</v>
      </c>
      <c r="H19" s="727">
        <f>transport!G14</f>
        <v>547273.21185005573</v>
      </c>
      <c r="I19" s="727">
        <f>transport!H14</f>
        <v>88846.142491642677</v>
      </c>
      <c r="J19" s="727">
        <f>transport!I14</f>
        <v>0</v>
      </c>
      <c r="K19" s="727">
        <f>transport!J14</f>
        <v>0</v>
      </c>
      <c r="L19" s="727">
        <f>transport!K14</f>
        <v>0</v>
      </c>
      <c r="M19" s="727">
        <f>transport!L14</f>
        <v>0</v>
      </c>
      <c r="N19" s="727">
        <f>transport!M14</f>
        <v>34611.963577124916</v>
      </c>
      <c r="O19" s="727">
        <f>transport!N14</f>
        <v>0</v>
      </c>
      <c r="P19" s="727">
        <f>transport!O14</f>
        <v>0</v>
      </c>
      <c r="Q19" s="728">
        <f>transport!P14</f>
        <v>0</v>
      </c>
      <c r="R19" s="729">
        <f>SUM(C19:Q19)</f>
        <v>672875.45915372542</v>
      </c>
      <c r="S19" s="67"/>
    </row>
    <row r="20" spans="1:19" s="474" customFormat="1" ht="15.75" thickBot="1">
      <c r="A20" s="730" t="s">
        <v>230</v>
      </c>
      <c r="B20" s="878"/>
      <c r="C20" s="873">
        <f>SUM(C17:C19)</f>
        <v>226.25972750856718</v>
      </c>
      <c r="D20" s="731">
        <f t="shared" ref="D20:R20" si="1">SUM(D17:D19)</f>
        <v>0</v>
      </c>
      <c r="E20" s="731">
        <f t="shared" si="1"/>
        <v>771.99892515596218</v>
      </c>
      <c r="F20" s="731">
        <f t="shared" si="1"/>
        <v>1145.8825822376766</v>
      </c>
      <c r="G20" s="731">
        <f t="shared" si="1"/>
        <v>0</v>
      </c>
      <c r="H20" s="731">
        <f t="shared" si="1"/>
        <v>557502.58841965138</v>
      </c>
      <c r="I20" s="731">
        <f t="shared" si="1"/>
        <v>88846.142491642677</v>
      </c>
      <c r="J20" s="731">
        <f t="shared" si="1"/>
        <v>0</v>
      </c>
      <c r="K20" s="731">
        <f t="shared" si="1"/>
        <v>0</v>
      </c>
      <c r="L20" s="731">
        <f t="shared" si="1"/>
        <v>0</v>
      </c>
      <c r="M20" s="731">
        <f t="shared" si="1"/>
        <v>0</v>
      </c>
      <c r="N20" s="731">
        <f t="shared" si="1"/>
        <v>35192.947007913717</v>
      </c>
      <c r="O20" s="731">
        <f t="shared" si="1"/>
        <v>0</v>
      </c>
      <c r="P20" s="731">
        <f t="shared" si="1"/>
        <v>0</v>
      </c>
      <c r="Q20" s="732">
        <f t="shared" si="1"/>
        <v>0</v>
      </c>
      <c r="R20" s="733">
        <f t="shared" si="1"/>
        <v>683685.81915410981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2859.40568293357</v>
      </c>
      <c r="D22" s="727">
        <f>+landbouw!C8</f>
        <v>0</v>
      </c>
      <c r="E22" s="727">
        <f>+landbouw!D8</f>
        <v>25641.358156205064</v>
      </c>
      <c r="F22" s="727">
        <f>+landbouw!E8</f>
        <v>84.04666665442231</v>
      </c>
      <c r="G22" s="727">
        <f>+landbouw!F8</f>
        <v>11912.129560928235</v>
      </c>
      <c r="H22" s="727">
        <f>+landbouw!G8</f>
        <v>0</v>
      </c>
      <c r="I22" s="727">
        <f>+landbouw!H8</f>
        <v>0</v>
      </c>
      <c r="J22" s="727">
        <f>+landbouw!I8</f>
        <v>0</v>
      </c>
      <c r="K22" s="727">
        <f>+landbouw!J8</f>
        <v>414.26647701712068</v>
      </c>
      <c r="L22" s="727">
        <f>+landbouw!K8</f>
        <v>0</v>
      </c>
      <c r="M22" s="727">
        <f>+landbouw!L8</f>
        <v>0</v>
      </c>
      <c r="N22" s="727">
        <f>+landbouw!M8</f>
        <v>0</v>
      </c>
      <c r="O22" s="727">
        <f>+landbouw!N8</f>
        <v>0</v>
      </c>
      <c r="P22" s="727">
        <f>+landbouw!O8</f>
        <v>0</v>
      </c>
      <c r="Q22" s="728">
        <f>+landbouw!P8</f>
        <v>0</v>
      </c>
      <c r="R22" s="729">
        <f>SUM(C22:Q22)</f>
        <v>40911.206543738408</v>
      </c>
      <c r="S22" s="67"/>
    </row>
    <row r="23" spans="1:19" s="474" customFormat="1" ht="17.25" thickTop="1" thickBot="1">
      <c r="A23" s="734" t="s">
        <v>116</v>
      </c>
      <c r="B23" s="864"/>
      <c r="C23" s="735">
        <f ca="1">C20+C15+C22</f>
        <v>402486.44560904882</v>
      </c>
      <c r="D23" s="735">
        <f t="shared" ref="D23:Q23" ca="1" si="2">D20+D15+D22</f>
        <v>916.07142857142856</v>
      </c>
      <c r="E23" s="735">
        <f t="shared" ca="1" si="2"/>
        <v>753223.49693806854</v>
      </c>
      <c r="F23" s="735">
        <f t="shared" si="2"/>
        <v>17453.716155493192</v>
      </c>
      <c r="G23" s="735">
        <f t="shared" ca="1" si="2"/>
        <v>90028.727359039432</v>
      </c>
      <c r="H23" s="735">
        <f t="shared" si="2"/>
        <v>557502.58841965138</v>
      </c>
      <c r="I23" s="735">
        <f t="shared" si="2"/>
        <v>88846.142491642677</v>
      </c>
      <c r="J23" s="735">
        <f t="shared" si="2"/>
        <v>0</v>
      </c>
      <c r="K23" s="735">
        <f t="shared" si="2"/>
        <v>564.61619994341652</v>
      </c>
      <c r="L23" s="735">
        <f t="shared" si="2"/>
        <v>0</v>
      </c>
      <c r="M23" s="735">
        <f t="shared" ca="1" si="2"/>
        <v>0</v>
      </c>
      <c r="N23" s="735">
        <f t="shared" si="2"/>
        <v>35192.947007913717</v>
      </c>
      <c r="O23" s="735">
        <f t="shared" ca="1" si="2"/>
        <v>112676.61216117175</v>
      </c>
      <c r="P23" s="735">
        <f t="shared" si="2"/>
        <v>1147.4866666666669</v>
      </c>
      <c r="Q23" s="736">
        <f t="shared" si="2"/>
        <v>2383.3333333333335</v>
      </c>
      <c r="R23" s="737">
        <f ca="1">R20+R15+R22</f>
        <v>2062422.1837705444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38503.67811650307</v>
      </c>
      <c r="D36" s="718">
        <f ca="1">tertiair!C20</f>
        <v>217.70168067226894</v>
      </c>
      <c r="E36" s="718">
        <f ca="1">tertiair!D20</f>
        <v>44328.280893530697</v>
      </c>
      <c r="F36" s="718">
        <f>tertiair!E20</f>
        <v>478.36030112097859</v>
      </c>
      <c r="G36" s="718">
        <f ca="1">tertiair!F20</f>
        <v>8352.1006144221919</v>
      </c>
      <c r="H36" s="718">
        <f>tertiair!G20</f>
        <v>0</v>
      </c>
      <c r="I36" s="718">
        <f>tertiair!H20</f>
        <v>0</v>
      </c>
      <c r="J36" s="718">
        <f>tertiair!I20</f>
        <v>0</v>
      </c>
      <c r="K36" s="718">
        <f>tertiair!J20</f>
        <v>0.15289252557026878</v>
      </c>
      <c r="L36" s="718">
        <f>tertiair!K20</f>
        <v>0</v>
      </c>
      <c r="M36" s="718">
        <f ca="1">tertiair!L20</f>
        <v>0</v>
      </c>
      <c r="N36" s="718">
        <f>tertiair!M20</f>
        <v>0</v>
      </c>
      <c r="O36" s="718">
        <f ca="1">tertiair!N20</f>
        <v>0</v>
      </c>
      <c r="P36" s="718">
        <f>tertiair!O20</f>
        <v>0</v>
      </c>
      <c r="Q36" s="828">
        <f>tertiair!P20</f>
        <v>0</v>
      </c>
      <c r="R36" s="917">
        <f ca="1">SUM(C36:Q36)</f>
        <v>91880.274498774772</v>
      </c>
    </row>
    <row r="37" spans="1:18">
      <c r="A37" s="885" t="s">
        <v>225</v>
      </c>
      <c r="B37" s="892"/>
      <c r="C37" s="718">
        <f ca="1">huishoudens!B12</f>
        <v>23529.896602292974</v>
      </c>
      <c r="D37" s="718">
        <f ca="1">huishoudens!C12</f>
        <v>0</v>
      </c>
      <c r="E37" s="718">
        <f>huishoudens!D12</f>
        <v>68456.55815989252</v>
      </c>
      <c r="F37" s="718">
        <f>huishoudens!E12</f>
        <v>1929.0828658801559</v>
      </c>
      <c r="G37" s="718">
        <f>huishoudens!F12</f>
        <v>7281.2825465559172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101196.82017462156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19198.002814006617</v>
      </c>
      <c r="D39" s="718">
        <f ca="1">industrie!C22</f>
        <v>0</v>
      </c>
      <c r="E39" s="718">
        <f>industrie!D22</f>
        <v>34030.809197631737</v>
      </c>
      <c r="F39" s="718">
        <f>industrie!E22</f>
        <v>1275.3564607973137</v>
      </c>
      <c r="G39" s="718">
        <f>industrie!F22</f>
        <v>5223.7484511175817</v>
      </c>
      <c r="H39" s="718">
        <f>industrie!G22</f>
        <v>0</v>
      </c>
      <c r="I39" s="718">
        <f>industrie!H22</f>
        <v>0</v>
      </c>
      <c r="J39" s="718">
        <f>industrie!I22</f>
        <v>0</v>
      </c>
      <c r="K39" s="718">
        <f>industrie!J22</f>
        <v>53.070909390338443</v>
      </c>
      <c r="L39" s="718">
        <f>industrie!K22</f>
        <v>0</v>
      </c>
      <c r="M39" s="718">
        <f>industrie!L22</f>
        <v>0</v>
      </c>
      <c r="N39" s="718">
        <f>industrie!M22</f>
        <v>0</v>
      </c>
      <c r="O39" s="718">
        <f>industrie!N22</f>
        <v>0</v>
      </c>
      <c r="P39" s="718">
        <f>industrie!O22</f>
        <v>0</v>
      </c>
      <c r="Q39" s="828">
        <f>industrie!P22</f>
        <v>0</v>
      </c>
      <c r="R39" s="918">
        <f ca="1">SUM(C39:Q39)</f>
        <v>59780.987832943581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81231.577532802665</v>
      </c>
      <c r="D41" s="763">
        <f t="shared" ref="D41:R41" ca="1" si="4">SUM(D35:D40)</f>
        <v>217.70168067226894</v>
      </c>
      <c r="E41" s="763">
        <f t="shared" ca="1" si="4"/>
        <v>146815.64825105495</v>
      </c>
      <c r="F41" s="763">
        <f t="shared" si="4"/>
        <v>3682.7996277984485</v>
      </c>
      <c r="G41" s="763">
        <f t="shared" ca="1" si="4"/>
        <v>20857.131612095691</v>
      </c>
      <c r="H41" s="763">
        <f t="shared" si="4"/>
        <v>0</v>
      </c>
      <c r="I41" s="763">
        <f t="shared" si="4"/>
        <v>0</v>
      </c>
      <c r="J41" s="763">
        <f t="shared" si="4"/>
        <v>0</v>
      </c>
      <c r="K41" s="763">
        <f t="shared" si="4"/>
        <v>53.223801915908709</v>
      </c>
      <c r="L41" s="763">
        <f t="shared" si="4"/>
        <v>0</v>
      </c>
      <c r="M41" s="763">
        <f t="shared" ca="1" si="4"/>
        <v>0</v>
      </c>
      <c r="N41" s="763">
        <f t="shared" si="4"/>
        <v>0</v>
      </c>
      <c r="O41" s="763">
        <f t="shared" ca="1" si="4"/>
        <v>0</v>
      </c>
      <c r="P41" s="763">
        <f t="shared" si="4"/>
        <v>0</v>
      </c>
      <c r="Q41" s="764">
        <f t="shared" si="4"/>
        <v>0</v>
      </c>
      <c r="R41" s="765">
        <f t="shared" ca="1" si="4"/>
        <v>252858.08250633991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2731.2435440820332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2731.2435440820332</v>
      </c>
    </row>
    <row r="45" spans="1:18" ht="15" thickBot="1">
      <c r="A45" s="888" t="s">
        <v>307</v>
      </c>
      <c r="B45" s="898"/>
      <c r="C45" s="727">
        <f ca="1">transport!B18</f>
        <v>46.017523021671586</v>
      </c>
      <c r="D45" s="727">
        <f>transport!C18</f>
        <v>0</v>
      </c>
      <c r="E45" s="727">
        <f>transport!D18</f>
        <v>155.94378288150438</v>
      </c>
      <c r="F45" s="727">
        <f>transport!E18</f>
        <v>260.11534616795262</v>
      </c>
      <c r="G45" s="727">
        <f>transport!F18</f>
        <v>0</v>
      </c>
      <c r="H45" s="727">
        <f>transport!G18</f>
        <v>146121.94756396487</v>
      </c>
      <c r="I45" s="727">
        <f>transport!H18</f>
        <v>22122.689480419027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168706.71369645503</v>
      </c>
    </row>
    <row r="46" spans="1:18" ht="15.75" thickBot="1">
      <c r="A46" s="886" t="s">
        <v>230</v>
      </c>
      <c r="B46" s="899"/>
      <c r="C46" s="763">
        <f t="shared" ref="C46:R46" ca="1" si="5">SUM(C43:C45)</f>
        <v>46.017523021671586</v>
      </c>
      <c r="D46" s="763">
        <f t="shared" ca="1" si="5"/>
        <v>0</v>
      </c>
      <c r="E46" s="763">
        <f t="shared" si="5"/>
        <v>155.94378288150438</v>
      </c>
      <c r="F46" s="763">
        <f t="shared" si="5"/>
        <v>260.11534616795262</v>
      </c>
      <c r="G46" s="763">
        <f t="shared" si="5"/>
        <v>0</v>
      </c>
      <c r="H46" s="763">
        <f t="shared" si="5"/>
        <v>148853.19110804691</v>
      </c>
      <c r="I46" s="763">
        <f t="shared" si="5"/>
        <v>22122.689480419027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171437.95724053707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581.55628618315131</v>
      </c>
      <c r="D48" s="718">
        <f ca="1">+landbouw!C12</f>
        <v>0</v>
      </c>
      <c r="E48" s="718">
        <f>+landbouw!D12</f>
        <v>5179.5543475534232</v>
      </c>
      <c r="F48" s="718">
        <f>+landbouw!E12</f>
        <v>19.078593330553865</v>
      </c>
      <c r="G48" s="718">
        <f>+landbouw!F12</f>
        <v>3180.538592767839</v>
      </c>
      <c r="H48" s="718">
        <f>+landbouw!G12</f>
        <v>0</v>
      </c>
      <c r="I48" s="718">
        <f>+landbouw!H12</f>
        <v>0</v>
      </c>
      <c r="J48" s="718">
        <f>+landbouw!I12</f>
        <v>0</v>
      </c>
      <c r="K48" s="718">
        <f>+landbouw!J12</f>
        <v>146.65033286406072</v>
      </c>
      <c r="L48" s="718">
        <f>+landbouw!K12</f>
        <v>0</v>
      </c>
      <c r="M48" s="718">
        <f>+landbouw!L12</f>
        <v>0</v>
      </c>
      <c r="N48" s="718">
        <f>+landbouw!M12</f>
        <v>0</v>
      </c>
      <c r="O48" s="718">
        <f>+landbouw!N12</f>
        <v>0</v>
      </c>
      <c r="P48" s="718">
        <f>+landbouw!O12</f>
        <v>0</v>
      </c>
      <c r="Q48" s="719">
        <f>+landbouw!P12</f>
        <v>0</v>
      </c>
      <c r="R48" s="761">
        <f ca="1">SUM(C48:Q48)</f>
        <v>9107.3781526990279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81859.151342007492</v>
      </c>
      <c r="D53" s="773">
        <f t="shared" ref="D53:Q53" ca="1" si="6">D41+D46+D48</f>
        <v>217.70168067226894</v>
      </c>
      <c r="E53" s="773">
        <f t="shared" ca="1" si="6"/>
        <v>152151.1463814899</v>
      </c>
      <c r="F53" s="773">
        <f t="shared" si="6"/>
        <v>3961.993567296955</v>
      </c>
      <c r="G53" s="773">
        <f t="shared" ca="1" si="6"/>
        <v>24037.670204863531</v>
      </c>
      <c r="H53" s="773">
        <f t="shared" si="6"/>
        <v>148853.19110804691</v>
      </c>
      <c r="I53" s="773">
        <f t="shared" si="6"/>
        <v>22122.689480419027</v>
      </c>
      <c r="J53" s="773">
        <f t="shared" si="6"/>
        <v>0</v>
      </c>
      <c r="K53" s="773">
        <f t="shared" si="6"/>
        <v>199.87413477996944</v>
      </c>
      <c r="L53" s="773">
        <f t="shared" si="6"/>
        <v>0</v>
      </c>
      <c r="M53" s="773">
        <f t="shared" ca="1" si="6"/>
        <v>0</v>
      </c>
      <c r="N53" s="773">
        <f t="shared" si="6"/>
        <v>0</v>
      </c>
      <c r="O53" s="773">
        <f t="shared" ca="1" si="6"/>
        <v>0</v>
      </c>
      <c r="P53" s="773">
        <f>P41+P46+P48</f>
        <v>0</v>
      </c>
      <c r="Q53" s="774">
        <f t="shared" si="6"/>
        <v>0</v>
      </c>
      <c r="R53" s="775">
        <f ca="1">R41+R46+R48</f>
        <v>433403.41789957602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0.2033836225668095</v>
      </c>
      <c r="D55" s="836">
        <f t="shared" ca="1" si="7"/>
        <v>0.23764705882352943</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10334.121279407986</v>
      </c>
      <c r="C64" s="795">
        <f>'lokale energieproductie'!B4</f>
        <v>10334.121279407986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21797.227426758982</v>
      </c>
      <c r="C66" s="795">
        <f>'lokale energieproductie'!B6</f>
        <v>21797.227426758982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641.25</v>
      </c>
      <c r="C67" s="794">
        <f>B67*IFERROR(SUM(J67:L67)/SUM(D67:M67),0)</f>
        <v>0</v>
      </c>
      <c r="D67" s="826">
        <f>'lokale energieproductie'!C7</f>
        <v>754.41176470588255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152.39117647058828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32772.598706166966</v>
      </c>
      <c r="C69" s="803">
        <f>SUM(C64:C68)</f>
        <v>32131.348706166966</v>
      </c>
      <c r="D69" s="804">
        <f t="shared" ref="D69:M69" si="8">SUM(D67:D68)</f>
        <v>754.41176470588255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152.39117647058828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916.07142857142856</v>
      </c>
      <c r="C78" s="817">
        <f>B78*IFERROR(SUM(I78:L78)/SUM(D78:M78),0)</f>
        <v>0</v>
      </c>
      <c r="D78" s="832">
        <f>'lokale energieproductie'!C16</f>
        <v>1077.7310924369749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217.70168067226894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916.07142857142856</v>
      </c>
      <c r="C81" s="803">
        <f>SUM(C78:C80)</f>
        <v>0</v>
      </c>
      <c r="D81" s="803">
        <f t="shared" ref="D81:P81" si="9">SUM(D78:D80)</f>
        <v>1077.7310924369749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217.70168067226894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115692.18949556098</v>
      </c>
      <c r="C4" s="478">
        <f>huishoudens!C8</f>
        <v>0</v>
      </c>
      <c r="D4" s="478">
        <f>huishoudens!D8</f>
        <v>338893.8522766956</v>
      </c>
      <c r="E4" s="478">
        <f>huishoudens!E8</f>
        <v>8498.1624047583955</v>
      </c>
      <c r="F4" s="478">
        <f>huishoudens!F8</f>
        <v>27270.7211481495</v>
      </c>
      <c r="G4" s="478">
        <f>huishoudens!G8</f>
        <v>0</v>
      </c>
      <c r="H4" s="478">
        <f>huishoudens!H8</f>
        <v>0</v>
      </c>
      <c r="I4" s="478">
        <f>huishoudens!I8</f>
        <v>0</v>
      </c>
      <c r="J4" s="478">
        <f>huishoudens!J8</f>
        <v>0</v>
      </c>
      <c r="K4" s="478">
        <f>huishoudens!K8</f>
        <v>0</v>
      </c>
      <c r="L4" s="478">
        <f>huishoudens!L8</f>
        <v>0</v>
      </c>
      <c r="M4" s="478">
        <f>huishoudens!M8</f>
        <v>0</v>
      </c>
      <c r="N4" s="478">
        <f>huishoudens!N8</f>
        <v>41077.728401122695</v>
      </c>
      <c r="O4" s="478">
        <f>huishoudens!O8</f>
        <v>1124.0366666666669</v>
      </c>
      <c r="P4" s="479">
        <f>huishoudens!P8</f>
        <v>2135.4666666666667</v>
      </c>
      <c r="Q4" s="480">
        <f>SUM(B4:P4)</f>
        <v>534692.15705962048</v>
      </c>
    </row>
    <row r="5" spans="1:17">
      <c r="A5" s="477" t="s">
        <v>156</v>
      </c>
      <c r="B5" s="478">
        <f ca="1">tertiair!B16</f>
        <v>183196.51009996477</v>
      </c>
      <c r="C5" s="478">
        <f ca="1">tertiair!C16</f>
        <v>916.07142857142856</v>
      </c>
      <c r="D5" s="478">
        <f ca="1">tertiair!D16</f>
        <v>219446.93511648857</v>
      </c>
      <c r="E5" s="478">
        <f>tertiair!E16</f>
        <v>2107.3141018545311</v>
      </c>
      <c r="F5" s="478">
        <f ca="1">tertiair!F16</f>
        <v>31281.275709446407</v>
      </c>
      <c r="G5" s="478">
        <f>tertiair!G16</f>
        <v>0</v>
      </c>
      <c r="H5" s="478">
        <f>tertiair!H16</f>
        <v>0</v>
      </c>
      <c r="I5" s="478">
        <f>tertiair!I16</f>
        <v>0</v>
      </c>
      <c r="J5" s="478">
        <f>tertiair!J16</f>
        <v>0.43189978974652199</v>
      </c>
      <c r="K5" s="478">
        <f>tertiair!K16</f>
        <v>0</v>
      </c>
      <c r="L5" s="478">
        <f ca="1">tertiair!L16</f>
        <v>0</v>
      </c>
      <c r="M5" s="478">
        <f>tertiair!M16</f>
        <v>0</v>
      </c>
      <c r="N5" s="478">
        <f ca="1">tertiair!N16</f>
        <v>17521.668718469333</v>
      </c>
      <c r="O5" s="478">
        <f>tertiair!O16</f>
        <v>23.45</v>
      </c>
      <c r="P5" s="479">
        <f>tertiair!P16</f>
        <v>247.86666666666667</v>
      </c>
      <c r="Q5" s="477">
        <f t="shared" ref="Q5:Q13" ca="1" si="0">SUM(B5:P5)</f>
        <v>454741.52374125138</v>
      </c>
    </row>
    <row r="6" spans="1:17">
      <c r="A6" s="477" t="s">
        <v>194</v>
      </c>
      <c r="B6" s="478">
        <f>'openbare verlichting'!B8</f>
        <v>6119.0190000000002</v>
      </c>
      <c r="C6" s="478"/>
      <c r="D6" s="478"/>
      <c r="E6" s="478"/>
      <c r="F6" s="478"/>
      <c r="G6" s="478"/>
      <c r="H6" s="478"/>
      <c r="I6" s="478"/>
      <c r="J6" s="478"/>
      <c r="K6" s="478"/>
      <c r="L6" s="478"/>
      <c r="M6" s="478"/>
      <c r="N6" s="478"/>
      <c r="O6" s="478"/>
      <c r="P6" s="479"/>
      <c r="Q6" s="477">
        <f t="shared" si="0"/>
        <v>6119.0190000000002</v>
      </c>
    </row>
    <row r="7" spans="1:17">
      <c r="A7" s="477" t="s">
        <v>112</v>
      </c>
      <c r="B7" s="478">
        <f>landbouw!B8</f>
        <v>2859.40568293357</v>
      </c>
      <c r="C7" s="478">
        <f>landbouw!C8</f>
        <v>0</v>
      </c>
      <c r="D7" s="478">
        <f>landbouw!D8</f>
        <v>25641.358156205064</v>
      </c>
      <c r="E7" s="478">
        <f>landbouw!E8</f>
        <v>84.04666665442231</v>
      </c>
      <c r="F7" s="478">
        <f>landbouw!F8</f>
        <v>11912.129560928235</v>
      </c>
      <c r="G7" s="478">
        <f>landbouw!G8</f>
        <v>0</v>
      </c>
      <c r="H7" s="478">
        <f>landbouw!H8</f>
        <v>0</v>
      </c>
      <c r="I7" s="478">
        <f>landbouw!I8</f>
        <v>0</v>
      </c>
      <c r="J7" s="478">
        <f>landbouw!J8</f>
        <v>414.26647701712068</v>
      </c>
      <c r="K7" s="478">
        <f>landbouw!K8</f>
        <v>0</v>
      </c>
      <c r="L7" s="478">
        <f>landbouw!L8</f>
        <v>0</v>
      </c>
      <c r="M7" s="478">
        <f>landbouw!M8</f>
        <v>0</v>
      </c>
      <c r="N7" s="478">
        <f>landbouw!N8</f>
        <v>0</v>
      </c>
      <c r="O7" s="478">
        <f>landbouw!O8</f>
        <v>0</v>
      </c>
      <c r="P7" s="479">
        <f>landbouw!P8</f>
        <v>0</v>
      </c>
      <c r="Q7" s="477">
        <f t="shared" si="0"/>
        <v>40911.206543738408</v>
      </c>
    </row>
    <row r="8" spans="1:17">
      <c r="A8" s="477" t="s">
        <v>635</v>
      </c>
      <c r="B8" s="478">
        <f>industrie!B18</f>
        <v>94393.061603080976</v>
      </c>
      <c r="C8" s="478">
        <f>industrie!C18</f>
        <v>0</v>
      </c>
      <c r="D8" s="478">
        <f>industrie!D18</f>
        <v>168469.35246352345</v>
      </c>
      <c r="E8" s="478">
        <f>industrie!E18</f>
        <v>5618.310399988166</v>
      </c>
      <c r="F8" s="478">
        <f>industrie!F18</f>
        <v>19564.600940515287</v>
      </c>
      <c r="G8" s="478">
        <f>industrie!G18</f>
        <v>0</v>
      </c>
      <c r="H8" s="478">
        <f>industrie!H18</f>
        <v>0</v>
      </c>
      <c r="I8" s="478">
        <f>industrie!I18</f>
        <v>0</v>
      </c>
      <c r="J8" s="478">
        <f>industrie!J18</f>
        <v>149.91782313654929</v>
      </c>
      <c r="K8" s="478">
        <f>industrie!K18</f>
        <v>0</v>
      </c>
      <c r="L8" s="478">
        <f>industrie!L18</f>
        <v>0</v>
      </c>
      <c r="M8" s="478">
        <f>industrie!M18</f>
        <v>0</v>
      </c>
      <c r="N8" s="478">
        <f>industrie!N18</f>
        <v>54077.215041579722</v>
      </c>
      <c r="O8" s="478">
        <f>industrie!O18</f>
        <v>0</v>
      </c>
      <c r="P8" s="479">
        <f>industrie!P18</f>
        <v>0</v>
      </c>
      <c r="Q8" s="477">
        <f t="shared" si="0"/>
        <v>342272.45827182417</v>
      </c>
    </row>
    <row r="9" spans="1:17" s="483" customFormat="1">
      <c r="A9" s="481" t="s">
        <v>561</v>
      </c>
      <c r="B9" s="482">
        <f>transport!B14</f>
        <v>226.25972750856718</v>
      </c>
      <c r="C9" s="482">
        <f>transport!C14</f>
        <v>0</v>
      </c>
      <c r="D9" s="482">
        <f>transport!D14</f>
        <v>771.99892515596218</v>
      </c>
      <c r="E9" s="482">
        <f>transport!E14</f>
        <v>1145.8825822376766</v>
      </c>
      <c r="F9" s="482">
        <f>transport!F14</f>
        <v>0</v>
      </c>
      <c r="G9" s="482">
        <f>transport!G14</f>
        <v>547273.21185005573</v>
      </c>
      <c r="H9" s="482">
        <f>transport!H14</f>
        <v>88846.142491642677</v>
      </c>
      <c r="I9" s="482">
        <f>transport!I14</f>
        <v>0</v>
      </c>
      <c r="J9" s="482">
        <f>transport!J14</f>
        <v>0</v>
      </c>
      <c r="K9" s="482">
        <f>transport!K14</f>
        <v>0</v>
      </c>
      <c r="L9" s="482">
        <f>transport!L14</f>
        <v>0</v>
      </c>
      <c r="M9" s="482">
        <f>transport!M14</f>
        <v>34611.963577124916</v>
      </c>
      <c r="N9" s="482">
        <f>transport!N14</f>
        <v>0</v>
      </c>
      <c r="O9" s="482">
        <f>transport!O14</f>
        <v>0</v>
      </c>
      <c r="P9" s="482">
        <f>transport!P14</f>
        <v>0</v>
      </c>
      <c r="Q9" s="481">
        <f>SUM(B9:P9)</f>
        <v>672875.45915372542</v>
      </c>
    </row>
    <row r="10" spans="1:17">
      <c r="A10" s="477" t="s">
        <v>551</v>
      </c>
      <c r="B10" s="478">
        <f>transport!B54</f>
        <v>0</v>
      </c>
      <c r="C10" s="478">
        <f>transport!C54</f>
        <v>0</v>
      </c>
      <c r="D10" s="478">
        <f>transport!D54</f>
        <v>0</v>
      </c>
      <c r="E10" s="478">
        <f>transport!E54</f>
        <v>0</v>
      </c>
      <c r="F10" s="478">
        <f>transport!F54</f>
        <v>0</v>
      </c>
      <c r="G10" s="478">
        <f>transport!G54</f>
        <v>10229.37656959563</v>
      </c>
      <c r="H10" s="478">
        <f>transport!H54</f>
        <v>0</v>
      </c>
      <c r="I10" s="478">
        <f>transport!I54</f>
        <v>0</v>
      </c>
      <c r="J10" s="478">
        <f>transport!J54</f>
        <v>0</v>
      </c>
      <c r="K10" s="478">
        <f>transport!K54</f>
        <v>0</v>
      </c>
      <c r="L10" s="478">
        <f>transport!L54</f>
        <v>0</v>
      </c>
      <c r="M10" s="478">
        <f>transport!M54</f>
        <v>580.98343078879896</v>
      </c>
      <c r="N10" s="478">
        <f>transport!N54</f>
        <v>0</v>
      </c>
      <c r="O10" s="478">
        <f>transport!O54</f>
        <v>0</v>
      </c>
      <c r="P10" s="479">
        <f>transport!P54</f>
        <v>0</v>
      </c>
      <c r="Q10" s="477">
        <f t="shared" si="0"/>
        <v>10810.360000384429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402486.44560904888</v>
      </c>
      <c r="C14" s="488">
        <f t="shared" ref="C14:Q14" ca="1" si="1">SUM(C4:C13)</f>
        <v>916.07142857142856</v>
      </c>
      <c r="D14" s="488">
        <f t="shared" ca="1" si="1"/>
        <v>753223.49693806865</v>
      </c>
      <c r="E14" s="488">
        <f t="shared" si="1"/>
        <v>17453.716155493188</v>
      </c>
      <c r="F14" s="488">
        <f t="shared" ca="1" si="1"/>
        <v>90028.727359039432</v>
      </c>
      <c r="G14" s="488">
        <f t="shared" si="1"/>
        <v>557502.58841965138</v>
      </c>
      <c r="H14" s="488">
        <f t="shared" si="1"/>
        <v>88846.142491642677</v>
      </c>
      <c r="I14" s="488">
        <f t="shared" si="1"/>
        <v>0</v>
      </c>
      <c r="J14" s="488">
        <f t="shared" si="1"/>
        <v>564.61619994341652</v>
      </c>
      <c r="K14" s="488">
        <f t="shared" si="1"/>
        <v>0</v>
      </c>
      <c r="L14" s="488">
        <f t="shared" ca="1" si="1"/>
        <v>0</v>
      </c>
      <c r="M14" s="488">
        <f t="shared" si="1"/>
        <v>35192.947007913717</v>
      </c>
      <c r="N14" s="488">
        <f t="shared" ca="1" si="1"/>
        <v>112676.61216117175</v>
      </c>
      <c r="O14" s="488">
        <f t="shared" si="1"/>
        <v>1147.4866666666669</v>
      </c>
      <c r="P14" s="489">
        <f t="shared" si="1"/>
        <v>2383.3333333333335</v>
      </c>
      <c r="Q14" s="489">
        <f t="shared" ca="1" si="1"/>
        <v>2062422.1837705444</v>
      </c>
    </row>
    <row r="16" spans="1:17">
      <c r="A16" s="491" t="s">
        <v>556</v>
      </c>
      <c r="B16" s="841">
        <f ca="1">huishoudens!B10</f>
        <v>0.20338362256680947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23529.896602292974</v>
      </c>
      <c r="C21" s="478">
        <f t="shared" ref="C21:C30" ca="1" si="3">C4*$C$16</f>
        <v>0</v>
      </c>
      <c r="D21" s="478">
        <f t="shared" ref="D21:D30" si="4">D4*$D$16</f>
        <v>68456.55815989252</v>
      </c>
      <c r="E21" s="478">
        <f t="shared" ref="E21:E30" si="5">E4*$E$16</f>
        <v>1929.0828658801559</v>
      </c>
      <c r="F21" s="478">
        <f t="shared" ref="F21:F30" si="6">F4*$F$16</f>
        <v>7281.2825465559172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101196.82017462156</v>
      </c>
    </row>
    <row r="22" spans="1:17">
      <c r="A22" s="477" t="s">
        <v>156</v>
      </c>
      <c r="B22" s="478">
        <f t="shared" ca="1" si="2"/>
        <v>37259.169865727934</v>
      </c>
      <c r="C22" s="478">
        <f t="shared" ca="1" si="3"/>
        <v>217.70168067226894</v>
      </c>
      <c r="D22" s="478">
        <f t="shared" ca="1" si="4"/>
        <v>44328.280893530697</v>
      </c>
      <c r="E22" s="478">
        <f t="shared" si="5"/>
        <v>478.36030112097859</v>
      </c>
      <c r="F22" s="478">
        <f t="shared" ca="1" si="6"/>
        <v>8352.1006144221919</v>
      </c>
      <c r="G22" s="478">
        <f t="shared" si="7"/>
        <v>0</v>
      </c>
      <c r="H22" s="478">
        <f t="shared" si="8"/>
        <v>0</v>
      </c>
      <c r="I22" s="478">
        <f t="shared" si="9"/>
        <v>0</v>
      </c>
      <c r="J22" s="478">
        <f t="shared" si="10"/>
        <v>0.15289252557026878</v>
      </c>
      <c r="K22" s="478">
        <f t="shared" si="11"/>
        <v>0</v>
      </c>
      <c r="L22" s="478">
        <f t="shared" ca="1" si="12"/>
        <v>0</v>
      </c>
      <c r="M22" s="478">
        <f t="shared" si="13"/>
        <v>0</v>
      </c>
      <c r="N22" s="478">
        <f t="shared" ca="1" si="14"/>
        <v>0</v>
      </c>
      <c r="O22" s="478">
        <f t="shared" si="15"/>
        <v>0</v>
      </c>
      <c r="P22" s="479">
        <f t="shared" si="16"/>
        <v>0</v>
      </c>
      <c r="Q22" s="477">
        <f t="shared" ref="Q22:Q30" ca="1" si="17">SUM(B22:P22)</f>
        <v>90635.766247999636</v>
      </c>
    </row>
    <row r="23" spans="1:17">
      <c r="A23" s="477" t="s">
        <v>194</v>
      </c>
      <c r="B23" s="478">
        <f t="shared" ca="1" si="2"/>
        <v>1244.508250775136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1244.508250775136</v>
      </c>
    </row>
    <row r="24" spans="1:17">
      <c r="A24" s="477" t="s">
        <v>112</v>
      </c>
      <c r="B24" s="478">
        <f t="shared" ca="1" si="2"/>
        <v>581.55628618315131</v>
      </c>
      <c r="C24" s="478">
        <f t="shared" ca="1" si="3"/>
        <v>0</v>
      </c>
      <c r="D24" s="478">
        <f t="shared" si="4"/>
        <v>5179.5543475534232</v>
      </c>
      <c r="E24" s="478">
        <f t="shared" si="5"/>
        <v>19.078593330553865</v>
      </c>
      <c r="F24" s="478">
        <f t="shared" si="6"/>
        <v>3180.538592767839</v>
      </c>
      <c r="G24" s="478">
        <f t="shared" si="7"/>
        <v>0</v>
      </c>
      <c r="H24" s="478">
        <f t="shared" si="8"/>
        <v>0</v>
      </c>
      <c r="I24" s="478">
        <f t="shared" si="9"/>
        <v>0</v>
      </c>
      <c r="J24" s="478">
        <f t="shared" si="10"/>
        <v>146.65033286406072</v>
      </c>
      <c r="K24" s="478">
        <f t="shared" si="11"/>
        <v>0</v>
      </c>
      <c r="L24" s="478">
        <f t="shared" si="12"/>
        <v>0</v>
      </c>
      <c r="M24" s="478">
        <f t="shared" si="13"/>
        <v>0</v>
      </c>
      <c r="N24" s="478">
        <f t="shared" si="14"/>
        <v>0</v>
      </c>
      <c r="O24" s="478">
        <f t="shared" si="15"/>
        <v>0</v>
      </c>
      <c r="P24" s="479">
        <f t="shared" si="16"/>
        <v>0</v>
      </c>
      <c r="Q24" s="477">
        <f t="shared" ca="1" si="17"/>
        <v>9107.3781526990279</v>
      </c>
    </row>
    <row r="25" spans="1:17">
      <c r="A25" s="477" t="s">
        <v>635</v>
      </c>
      <c r="B25" s="478">
        <f t="shared" ca="1" si="2"/>
        <v>19198.002814006617</v>
      </c>
      <c r="C25" s="478">
        <f t="shared" ca="1" si="3"/>
        <v>0</v>
      </c>
      <c r="D25" s="478">
        <f t="shared" si="4"/>
        <v>34030.809197631737</v>
      </c>
      <c r="E25" s="478">
        <f t="shared" si="5"/>
        <v>1275.3564607973137</v>
      </c>
      <c r="F25" s="478">
        <f t="shared" si="6"/>
        <v>5223.7484511175817</v>
      </c>
      <c r="G25" s="478">
        <f t="shared" si="7"/>
        <v>0</v>
      </c>
      <c r="H25" s="478">
        <f t="shared" si="8"/>
        <v>0</v>
      </c>
      <c r="I25" s="478">
        <f t="shared" si="9"/>
        <v>0</v>
      </c>
      <c r="J25" s="478">
        <f t="shared" si="10"/>
        <v>53.070909390338443</v>
      </c>
      <c r="K25" s="478">
        <f t="shared" si="11"/>
        <v>0</v>
      </c>
      <c r="L25" s="478">
        <f t="shared" si="12"/>
        <v>0</v>
      </c>
      <c r="M25" s="478">
        <f t="shared" si="13"/>
        <v>0</v>
      </c>
      <c r="N25" s="478">
        <f t="shared" si="14"/>
        <v>0</v>
      </c>
      <c r="O25" s="478">
        <f t="shared" si="15"/>
        <v>0</v>
      </c>
      <c r="P25" s="479">
        <f t="shared" si="16"/>
        <v>0</v>
      </c>
      <c r="Q25" s="477">
        <f t="shared" ca="1" si="17"/>
        <v>59780.987832943581</v>
      </c>
    </row>
    <row r="26" spans="1:17" s="483" customFormat="1">
      <c r="A26" s="481" t="s">
        <v>561</v>
      </c>
      <c r="B26" s="835">
        <f t="shared" ca="1" si="2"/>
        <v>46.017523021671586</v>
      </c>
      <c r="C26" s="482">
        <f t="shared" ca="1" si="3"/>
        <v>0</v>
      </c>
      <c r="D26" s="482">
        <f t="shared" si="4"/>
        <v>155.94378288150438</v>
      </c>
      <c r="E26" s="482">
        <f t="shared" si="5"/>
        <v>260.11534616795262</v>
      </c>
      <c r="F26" s="482">
        <f t="shared" si="6"/>
        <v>0</v>
      </c>
      <c r="G26" s="482">
        <f t="shared" si="7"/>
        <v>146121.94756396487</v>
      </c>
      <c r="H26" s="482">
        <f t="shared" si="8"/>
        <v>22122.689480419027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168706.71369645503</v>
      </c>
    </row>
    <row r="27" spans="1:17">
      <c r="A27" s="477" t="s">
        <v>551</v>
      </c>
      <c r="B27" s="478">
        <f t="shared" ca="1" si="2"/>
        <v>0</v>
      </c>
      <c r="C27" s="478">
        <f t="shared" ca="1" si="3"/>
        <v>0</v>
      </c>
      <c r="D27" s="478">
        <f t="shared" si="4"/>
        <v>0</v>
      </c>
      <c r="E27" s="478">
        <f t="shared" si="5"/>
        <v>0</v>
      </c>
      <c r="F27" s="478">
        <f t="shared" si="6"/>
        <v>0</v>
      </c>
      <c r="G27" s="478">
        <f t="shared" si="7"/>
        <v>2731.2435440820332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2731.2435440820332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81859.151342007477</v>
      </c>
      <c r="C31" s="488">
        <f t="shared" ca="1" si="18"/>
        <v>217.70168067226894</v>
      </c>
      <c r="D31" s="488">
        <f t="shared" ca="1" si="18"/>
        <v>152151.1463814899</v>
      </c>
      <c r="E31" s="488">
        <f t="shared" si="18"/>
        <v>3961.9935672969546</v>
      </c>
      <c r="F31" s="488">
        <f t="shared" ca="1" si="18"/>
        <v>24037.670204863531</v>
      </c>
      <c r="G31" s="488">
        <f t="shared" si="18"/>
        <v>148853.19110804691</v>
      </c>
      <c r="H31" s="488">
        <f t="shared" si="18"/>
        <v>22122.689480419027</v>
      </c>
      <c r="I31" s="488">
        <f t="shared" si="18"/>
        <v>0</v>
      </c>
      <c r="J31" s="488">
        <f t="shared" si="18"/>
        <v>199.87413477996944</v>
      </c>
      <c r="K31" s="488">
        <f t="shared" si="18"/>
        <v>0</v>
      </c>
      <c r="L31" s="488">
        <f t="shared" ca="1" si="18"/>
        <v>0</v>
      </c>
      <c r="M31" s="488">
        <f t="shared" si="18"/>
        <v>0</v>
      </c>
      <c r="N31" s="488">
        <f t="shared" ca="1" si="18"/>
        <v>0</v>
      </c>
      <c r="O31" s="488">
        <f t="shared" si="18"/>
        <v>0</v>
      </c>
      <c r="P31" s="489">
        <f t="shared" si="18"/>
        <v>0</v>
      </c>
      <c r="Q31" s="489">
        <f t="shared" ca="1" si="18"/>
        <v>433403.41789957602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0.20338362256680947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0.20338362256680947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0.20338362256680947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2018-09-06T12:47:44Z</dcterms:modified>
</cp:coreProperties>
</file>