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8" l="1"/>
  <c r="C31" s="1"/>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<sst xmlns="http://schemas.openxmlformats.org/spreadsheetml/2006/main" count="1959" uniqueCount="833">
  <si>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</si>
  <si>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</si>
  <si>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</si>
  <si>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</si>
  <si>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</si>
  <si>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</si>
  <si>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</si>
  <si>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</si>
  <si>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</si>
  <si>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</si>
  <si>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</si>
  <si>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</si>
  <si>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</si>
  <si>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</si>
  <si>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</si>
  <si>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</si>
  <si>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</si>
  <si>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</si>
  <si>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</si>
  <si>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</si>
  <si>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</si>
  <si>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</si>
  <si>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</si>
  <si>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</si>
  <si>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</si>
  <si>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</si>
  <si>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</si>
  <si>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</si>
  <si>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</si>
  <si>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</si>
  <si>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</si>
  <si>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</si>
  <si>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</si>
  <si>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</si>
  <si>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</si>
  <si>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</si>
  <si>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</si>
  <si>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</si>
  <si>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</si>
  <si>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</si>
  <si>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</si>
  <si>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</si>
  <si>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</si>
  <si>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</si>
  <si>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</si>
  <si>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</si>
  <si>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</si>
  <si>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</si>
  <si>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</si>
  <si>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</si>
  <si>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</si>
  <si>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</si>
  <si>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</si>
  <si>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</si>
  <si>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</si>
  <si>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</si>
  <si>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</si>
  <si>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</si>
  <si>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</si>
  <si>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</si>
  <si>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</si>
  <si>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</si>
  <si>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</si>
  <si>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</si>
  <si>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</si>
  <si>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</si>
  <si>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</si>
  <si>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</si>
  <si>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</si>
  <si>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</si>
  <si>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</si>
  <si>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</si>
  <si>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</si>
  <si>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</si>
  <si>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</si>
  <si>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</si>
  <si>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</si>
  <si>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</si>
  <si>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</si>
  <si>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</si>
  <si>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</si>
  <si>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</si>
  <si>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</si>
  <si>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</si>
  <si>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</si>
  <si>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</si>
  <si>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</si>
  <si>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</si>
  <si>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</si>
  <si>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</si>
  <si>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</si>
  <si>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</si>
  <si>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</si>
  <si>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</si>
  <si>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</si>
  <si>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</si>
  <si>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</si>
  <si>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</si>
  <si>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</si>
  <si>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</si>
  <si>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</si>
  <si>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</si>
  <si>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</si>
  <si>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</si>
  <si>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</si>
  <si>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</si>
  <si>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</si>
  <si>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</si>
  <si>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</si>
  <si>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</si>
  <si>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</si>
  <si>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</si>
  <si>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</si>
  <si>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</si>
  <si>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</si>
  <si>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</si>
  <si>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</si>
  <si>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</si>
  <si>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</si>
  <si>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</si>
  <si>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</si>
  <si>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</si>
  <si>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</si>
  <si>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</si>
  <si>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</si>
  <si>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</si>
  <si>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</si>
  <si>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</si>
  <si>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</si>
  <si>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</si>
  <si>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</si>
  <si>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</si>
  <si>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</si>
  <si>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</si>
  <si>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</si>
  <si>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</si>
  <si>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</si>
  <si>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</si>
  <si>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</si>
  <si>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</si>
  <si>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</si>
  <si>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</si>
  <si>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</si>
  <si>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</si>
  <si>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</si>
  <si>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</si>
  <si>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</si>
  <si>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</si>
  <si>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</si>
  <si>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</si>
  <si>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</si>
  <si>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</si>
  <si>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</si>
  <si>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</si>
  <si>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</si>
  <si>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</si>
  <si>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</si>
  <si>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</si>
  <si>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</si>
  <si>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</si>
  <si>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</si>
  <si>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</si>
  <si>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</si>
  <si>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</si>
  <si>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</si>
  <si>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</si>
  <si>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</si>
  <si>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</si>
  <si>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</si>
  <si>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</si>
  <si>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</si>
  <si>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</si>
  <si>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</si>
  <si>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</si>
  <si>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</si>
  <si>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</si>
  <si>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</si>
  <si>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</si>
  <si>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</si>
  <si>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</si>
  <si>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</si>
  <si>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</si>
  <si>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</si>
  <si>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</si>
  <si>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</si>
  <si>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</si>
  <si>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</si>
  <si>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</si>
  <si>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</si>
  <si>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</si>
  <si>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</si>
  <si>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</si>
  <si>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</si>
  <si>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</si>
  <si>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</si>
  <si>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</si>
  <si>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</si>
  <si>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</si>
  <si>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</si>
  <si>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</si>
  <si>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</si>
  <si>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</si>
  <si>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</si>
  <si>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</si>
  <si>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</si>
  <si>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</si>
  <si>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</si>
  <si>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</si>
  <si>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</si>
  <si>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</si>
  <si>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</si>
  <si>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</si>
  <si>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</si>
  <si>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</si>
  <si>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</si>
  <si>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</si>
  <si>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</si>
  <si>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</si>
  <si>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</si>
  <si>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</si>
  <si>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</si>
  <si>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</si>
  <si>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</si>
  <si>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</si>
  <si>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</si>
  <si>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</si>
  <si>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</si>
  <si>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</si>
  <si>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</si>
  <si>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</si>
  <si>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</si>
  <si>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</si>
  <si>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</si>
  <si>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</si>
  <si>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</si>
  <si>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</si>
  <si>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</si>
  <si>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</si>
  <si>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</si>
  <si>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</si>
  <si>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</si>
  <si>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</si>
  <si>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</si>
  <si>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</si>
  <si>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</si>
  <si>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</si>
  <si>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</si>
  <si>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</si>
  <si>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</si>
  <si>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</si>
  <si>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</si>
  <si>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</si>
  <si>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</si>
  <si>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</si>
  <si>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</si>
  <si>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</si>
  <si>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</si>
  <si>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</si>
  <si>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</si>
  <si>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</si>
  <si>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</si>
  <si>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</si>
  <si>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</si>
  <si>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</si>
  <si>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</si>
  <si>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</si>
  <si>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</si>
  <si>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</si>
  <si>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</si>
  <si>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</si>
  <si>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</si>
  <si>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</si>
  <si>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</si>
  <si>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</si>
  <si>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</si>
  <si>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</si>
  <si>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</si>
  <si>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</si>
  <si>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</si>
  <si>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</si>
  <si>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</si>
  <si>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</si>
  <si>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</si>
  <si>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</si>
  <si>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</si>
  <si>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</si>
  <si>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</si>
  <si>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</si>
  <si>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</si>
  <si>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</si>
  <si>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</si>
  <si>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</si>
  <si>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</si>
  <si>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</si>
  <si>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</si>
  <si>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</si>
  <si>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</si>
  <si>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</si>
  <si>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</si>
  <si>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</si>
  <si>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</si>
  <si>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</si>
  <si>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</si>
  <si>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</si>
  <si>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</si>
  <si>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</si>
  <si>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</si>
  <si>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</si>
  <si>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</si>
  <si>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</si>
  <si>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</si>
  <si>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</si>
  <si>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</si>
  <si>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</si>
  <si>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</si>
  <si>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</si>
  <si>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</si>
  <si>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</si>
  <si>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</si>
  <si>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</si>
  <si>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</si>
  <si>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</si>
  <si>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</si>
  <si>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</si>
  <si>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</si>
  <si>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</si>
  <si>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</si>
  <si>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</si>
  <si>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</si>
  <si>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</si>
  <si>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</si>
  <si>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</si>
  <si>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</si>
  <si>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</si>
  <si>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</si>
  <si>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</si>
  <si>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</si>
  <si>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</si>
  <si>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</si>
  <si>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</si>
  <si>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</si>
  <si>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</si>
  <si>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</si>
  <si>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</si>
  <si>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</si>
  <si>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</si>
  <si>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</si>
  <si>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</si>
  <si>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</si>
  <si>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</si>
  <si>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</si>
  <si>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</si>
  <si>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</si>
  <si>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</si>
  <si>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</si>
  <si>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</si>
  <si>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</si>
  <si>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</si>
  <si>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</si>
  <si>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</si>
  <si>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</si>
  <si>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</si>
  <si>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</si>
  <si>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</si>
  <si>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</si>
  <si>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</si>
  <si>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</si>
  <si>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</si>
  <si>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</si>
  <si>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</si>
  <si>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</si>
  <si>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</si>
  <si>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</si>
  <si>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</si>
  <si>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</si>
  <si>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</si>
  <si>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</si>
  <si>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</si>
  <si>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</si>
  <si>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</si>
  <si>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</si>
  <si>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</si>
  <si>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</si>
  <si>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</si>
  <si>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</si>
  <si>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</si>
  <si>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</si>
  <si>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</si>
  <si>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</si>
  <si>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</si>
  <si>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</si>
  <si>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</si>
  <si>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</si>
  <si>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</si>
  <si>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</si>
  <si>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</si>
  <si>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</si>
  <si>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</si>
  <si>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</si>
  <si>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</si>
  <si>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</si>
  <si>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</si>
  <si>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</si>
  <si>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</si>
  <si>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</si>
  <si>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</si>
  <si>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</si>
  <si>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</si>
  <si>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</si>
  <si>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</si>
  <si>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</si>
  <si>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</si>
  <si>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</si>
  <si>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</si>
  <si>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</si>
  <si>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</si>
  <si>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</si>
  <si>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</si>
  <si>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</si>
  <si>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</si>
  <si>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</si>
  <si>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</si>
  <si>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</si>
  <si>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</si>
  <si>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</si>
  <si>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</si>
  <si>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</si>
  <si>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</si>
  <si>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</si>
  <si>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</si>
  <si>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</si>
  <si>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</si>
  <si>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</si>
  <si>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</si>
  <si>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</si>
  <si>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</si>
  <si>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</si>
  <si>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</si>
  <si>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</si>
  <si>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</si>
  <si>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</si>
  <si>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</si>
  <si>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</si>
  <si>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</si>
  <si>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</si>
  <si>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</si>
  <si>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</si>
  <si>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</si>
  <si>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</si>
  <si>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</si>
  <si>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</si>
  <si>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</si>
  <si>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</si>
  <si>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</si>
  <si>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</si>
  <si>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</si>
  <si>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</si>
  <si>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</si>
  <si>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</si>
  <si>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</si>
  <si>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</si>
  <si>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</si>
  <si>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</si>
  <si>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</si>
  <si>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</si>
  <si>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</si>
  <si>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</si>
  <si>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</si>
  <si>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</si>
  <si>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</si>
  <si>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</si>
  <si>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</si>
  <si>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</si>
  <si>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</si>
  <si>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</si>
  <si>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</si>
  <si>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</si>
  <si>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</si>
  <si>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</si>
  <si>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</si>
  <si>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</si>
  <si>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</si>
  <si>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</si>
  <si>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</si>
  <si>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</si>
  <si>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</si>
  <si>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</si>
  <si>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</si>
  <si>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</si>
  <si>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</si>
  <si>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</si>
  <si>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</si>
  <si>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</si>
  <si>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</si>
  <si>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</si>
  <si>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</si>
  <si>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</si>
  <si>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</si>
  <si>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</si>
  <si>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</si>
  <si>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</si>
  <si>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</si>
  <si>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</si>
  <si>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</si>
  <si>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</si>
  <si>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</si>
  <si>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</si>
  <si>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</si>
  <si>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</si>
  <si>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</si>
  <si>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</si>
  <si>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</si>
  <si>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</si>
  <si>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</si>
  <si>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</si>
  <si>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</si>
  <si>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</si>
  <si>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</si>
  <si>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</si>
  <si>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</si>
  <si>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</si>
  <si>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</si>
  <si>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</si>
  <si>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</si>
  <si>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</si>
  <si>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</si>
  <si>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</si>
  <si>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</si>
  <si>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</si>
  <si>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</si>
  <si>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</si>
  <si>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</si>
  <si>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</si>
  <si>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</si>
  <si>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</si>
  <si>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</si>
  <si>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</si>
  <si>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</si>
  <si>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</si>
  <si>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</si>
  <si>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</si>
  <si>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</si>
  <si>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</si>
  <si>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</si>
  <si>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</si>
  <si>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</si>
  <si>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</si>
  <si>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</si>
  <si>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</si>
  <si>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</si>
  <si>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</si>
  <si>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</si>
  <si>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</si>
  <si>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</si>
  <si>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</si>
  <si>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</si>
  <si>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</si>
  <si>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</si>
  <si>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</si>
  <si>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</si>
  <si>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</si>
  <si>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</si>
  <si>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</si>
  <si>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</si>
  <si>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</si>
  <si>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</si>
  <si>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</si>
  <si>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</si>
  <si>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</si>
  <si>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</si>
  <si>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</si>
  <si>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</si>
  <si>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</si>
  <si>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</si>
  <si>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</si>
  <si>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</si>
  <si>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</si>
  <si>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</si>
  <si>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</si>
  <si>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</si>
  <si>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</si>
  <si>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</si>
  <si>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</si>
  <si>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</si>
  <si>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</si>
  <si>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</si>
  <si>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</si>
  <si>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</si>
  <si>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</si>
  <si>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</si>
  <si>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</si>
  <si>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</si>
  <si>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</si>
  <si>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</si>
  <si>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</si>
  <si>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</si>
  <si>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</si>
  <si>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</si>
  <si>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</si>
  <si>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</si>
  <si>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</si>
  <si>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</si>
  <si>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</si>
  <si>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</si>
  <si>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</si>
  <si>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</si>
  <si>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</si>
  <si>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</si>
  <si>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</si>
  <si>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</si>
  <si>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</si>
  <si>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</si>
  <si>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</si>
  <si>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</si>
  <si>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</si>
  <si>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</si>
  <si>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</si>
  <si>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</si>
  <si>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</si>
  <si>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</si>
  <si>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</si>
  <si>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</si>
  <si>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</si>
  <si>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</si>
  <si>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</si>
  <si>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</si>
  <si>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</si>
  <si>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</si>
  <si>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</si>
  <si>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</si>
  <si>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</si>
  <si>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</si>
  <si>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</si>
  <si>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</si>
  <si>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</si>
  <si>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</si>
  <si>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</si>
  <si>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</si>
  <si>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</si>
  <si>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</si>
  <si>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</si>
  <si>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</si>
  <si>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</si>
  <si>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</si>
  <si>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</si>
  <si>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</si>
  <si>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</si>
  <si>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</si>
  <si>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</si>
  <si>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</si>
  <si>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</si>
  <si>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</si>
  <si>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</si>
  <si>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</si>
  <si>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</si>
  <si>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</si>
  <si>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</si>
  <si>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</si>
  <si>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</si>
  <si>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</si>
  <si>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</si>
  <si>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</si>
  <si>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</si>
  <si>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</si>
  <si>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</si>
  <si>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</si>
  <si>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</si>
  <si>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</si>
  <si>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</si>
  <si>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</si>
  <si>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</si>
  <si>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</si>
  <si>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</si>
  <si>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</si>
  <si>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</si>
  <si>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</si>
  <si>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</si>
  <si>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</si>
  <si>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</si>
  <si>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</si>
  <si>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</si>
  <si>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</si>
  <si>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</si>
  <si>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</si>
  <si>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</si>
  <si>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</si>
  <si>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</si>
  <si>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</si>
  <si>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</si>
  <si>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</si>
  <si>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</si>
  <si>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</si>
  <si>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</si>
  <si>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</si>
  <si>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</si>
  <si>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</si>
  <si>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</si>
  <si>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</si>
  <si>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</si>
  <si>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</si>
  <si>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</si>
  <si>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</si>
  <si>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</si>
  <si>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</si>
  <si>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</si>
  <si>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</si>
  <si>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</si>
  <si>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</si>
  <si>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</si>
  <si>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</si>
  <si>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</si>
  <si>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</si>
  <si>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</si>
  <si>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</si>
  <si>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</si>
  <si>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</si>
  <si>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</si>
  <si>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</si>
  <si>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</si>
  <si>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</si>
  <si>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</si>
  <si>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</si>
  <si>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</si>
  <si>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</si>
  <si>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</si>
  <si>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</si>
  <si>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</si>
  <si>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</si>
  <si>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</si>
  <si>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</si>
  <si>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</si>
  <si>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</si>
  <si>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</si>
  <si>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</si>
  <si>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</si>
  <si>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</si>
  <si>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</si>
  <si>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</si>
  <si>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</si>
  <si>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</si>
  <si>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</si>
  <si>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</si>
  <si>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</si>
  <si>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</si>
  <si>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</si>
  <si>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</si>
  <si>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</si>
  <si>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</si>
  <si>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</si>
  <si>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</si>
  <si>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</si>
  <si>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</si>
  <si>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</si>
  <si>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</si>
  <si>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</si>
  <si>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</si>
  <si>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</si>
  <si>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</si>
  <si>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</si>
  <si>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</si>
  <si>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</si>
  <si>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</si>
  <si>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</si>
  <si>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</si>
  <si>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</si>
  <si>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</si>
  <si>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</si>
  <si>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</si>
  <si>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</si>
  <si>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</si>
  <si>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</si>
  <si>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</si>
  <si>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</si>
  <si>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</si>
  <si>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</si>
  <si>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</si>
  <si>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</si>
  <si>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</si>
  <si>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</si>
  <si>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</si>
  <si>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</si>
  <si>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</si>
  <si>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</si>
  <si>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</si>
  <si>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</si>
  <si>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</si>
  <si>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</si>
  <si>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</si>
  <si>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</si>
  <si>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</si>
  <si>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</si>
  <si>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</si>
  <si>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</si>
  <si>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</si>
  <si>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</si>
  <si>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</si>
  <si>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</si>
  <si>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</si>
  <si>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</si>
  <si>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</si>
  <si>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</si>
  <si>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34013</t>
  </si>
  <si>
    <t>HARELBEKE</t>
  </si>
  <si>
    <t>Eandis (januari 2018); Infrax (juni 2018)</t>
  </si>
  <si>
    <t>MOW (september 2017)</t>
  </si>
  <si>
    <t>referentietaak LNE (2017); Jaarverslag De Lijn (2016)</t>
  </si>
  <si>
    <t>VEA (april 2018)</t>
  </si>
  <si>
    <t>VEA (januari 2017)</t>
  </si>
  <si>
    <t>VEA (juni 2018)</t>
  </si>
  <si>
    <t>Kwekerij Horizon bvba</t>
  </si>
  <si>
    <t>Ginstestraat 44, 8531 Hulste</t>
  </si>
  <si>
    <t>WKK-0155 Horizon nv</t>
  </si>
  <si>
    <t>interne verbrandingsmotor</t>
  </si>
  <si>
    <t>WKK interne verbrandinsgmotor (gas)</t>
  </si>
  <si>
    <t>Infrax West</t>
  </si>
  <si>
    <t>FV Franky &amp; Els Galle Vanackere</t>
  </si>
  <si>
    <t>Veldstraat 1 A, 8770 Ingelmunster</t>
  </si>
  <si>
    <t>WKK-0300 Groeikracht Bavikhove</t>
  </si>
  <si>
    <t>Eerste Aardstraat 30 A, 8531 Bavikhove</t>
  </si>
  <si>
    <t>Aspiravi nv</t>
  </si>
  <si>
    <t>Vaarnewijkstraat 18, 8530 Harelbeke</t>
  </si>
  <si>
    <t>WKK-0094 Agristo</t>
  </si>
  <si>
    <t>Vaarnewijkstraat 17 , 8530 Harelbeke</t>
  </si>
  <si>
    <t>OCMW Harelbeke</t>
  </si>
  <si>
    <t>Paretteplein 19 , 8530 Harelbeke</t>
  </si>
  <si>
    <t>WKK-0564 OCMW Harelbeke</t>
  </si>
  <si>
    <t>Vrijdomkaai 31 , 8530 Harelbeke</t>
  </si>
  <si>
    <t>Aquafin NV</t>
  </si>
  <si>
    <t>Dijkstraat 8 , 2630 Aartselaar</t>
  </si>
  <si>
    <t>BGS-0056 RWZI Harelbeke</t>
  </si>
  <si>
    <t>biogas - RWZI</t>
  </si>
  <si>
    <t>niet WKK interne verbrandingsmotor (gas)</t>
  </si>
  <si>
    <t>Kortrijksesteenweg 266 , 8530 Harelbeke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</si>
</sst>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183111.1187255845</c:v>
                </c:pt>
                <c:pt idx="1">
                  <c:v>183221.24701629844</c:v>
                </c:pt>
                <c:pt idx="2">
                  <c:v>2280.6689999999999</c:v>
                </c:pt>
                <c:pt idx="3">
                  <c:v>100877.97887470419</c:v>
                </c:pt>
                <c:pt idx="4">
                  <c:v>160471.94023789387</c:v>
                </c:pt>
                <c:pt idx="5">
                  <c:v>195767.5466510673</c:v>
                </c:pt>
                <c:pt idx="6">
                  <c:v>1461.2031101741895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40000"/>
        <c:axId val="182695040"/>
      </c:barChart>
      <c:catAx>
        <c:axId val="182640000"/>
        <c:scaling>
          <c:orientation val="minMax"/>
        </c:scaling>
        <c:axPos val="b"/>
        <c:numFmt formatCode="General" sourceLinked="0"/>
        <c:tickLblPos val="nextTo"/>
        <c:crossAx val="182695040"/>
        <c:crosses val="autoZero"/>
        <c:auto val="1"/>
        <c:lblAlgn val="ctr"/>
        <c:lblOffset val="100"/>
      </c:catAx>
      <c:valAx>
        <c:axId val="182695040"/>
        <c:scaling>
          <c:orientation val="minMax"/>
        </c:scaling>
        <c:axPos val="l"/>
        <c:majorGridlines/>
        <c:numFmt formatCode="#,##0" sourceLinked="1"/>
        <c:tickLblPos val="nextTo"/>
        <c:crossAx val="1826400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183111.1187255845</c:v>
                </c:pt>
                <c:pt idx="1">
                  <c:v>183221.24701629844</c:v>
                </c:pt>
                <c:pt idx="2">
                  <c:v>2280.6689999999999</c:v>
                </c:pt>
                <c:pt idx="3">
                  <c:v>100877.97887470419</c:v>
                </c:pt>
                <c:pt idx="4">
                  <c:v>160471.94023789387</c:v>
                </c:pt>
                <c:pt idx="5">
                  <c:v>195767.5466510673</c:v>
                </c:pt>
                <c:pt idx="6">
                  <c:v>1461.2031101741895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32028.685011193964</c:v>
                </c:pt>
                <c:pt idx="1">
                  <c:v>35741.04192009184</c:v>
                </c:pt>
                <c:pt idx="2">
                  <c:v>437.12084782926354</c:v>
                </c:pt>
                <c:pt idx="3">
                  <c:v>24385.633980048904</c:v>
                </c:pt>
                <c:pt idx="4">
                  <c:v>29389.146071653668</c:v>
                </c:pt>
                <c:pt idx="5">
                  <c:v>49069.686946043053</c:v>
                </c:pt>
                <c:pt idx="6">
                  <c:v>369.17378895003702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59040"/>
        <c:axId val="183218176"/>
      </c:barChart>
      <c:catAx>
        <c:axId val="183159040"/>
        <c:scaling>
          <c:orientation val="minMax"/>
        </c:scaling>
        <c:axPos val="b"/>
        <c:numFmt formatCode="General" sourceLinked="0"/>
        <c:tickLblPos val="nextTo"/>
        <c:crossAx val="183218176"/>
        <c:crosses val="autoZero"/>
        <c:auto val="1"/>
        <c:lblAlgn val="ctr"/>
        <c:lblOffset val="100"/>
      </c:catAx>
      <c:valAx>
        <c:axId val="183218176"/>
        <c:scaling>
          <c:orientation val="minMax"/>
        </c:scaling>
        <c:axPos val="l"/>
        <c:majorGridlines/>
        <c:numFmt formatCode="#,##0" sourceLinked="1"/>
        <c:tickLblPos val="nextTo"/>
        <c:crossAx val="1831590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32028.685011193964</c:v>
                </c:pt>
                <c:pt idx="1">
                  <c:v>35741.04192009184</c:v>
                </c:pt>
                <c:pt idx="2">
                  <c:v>437.12084782926354</c:v>
                </c:pt>
                <c:pt idx="3">
                  <c:v>24385.633980048904</c:v>
                </c:pt>
                <c:pt idx="4">
                  <c:v>29389.146071653668</c:v>
                </c:pt>
                <c:pt idx="5">
                  <c:v>49069.686946043053</c:v>
                </c:pt>
                <c:pt idx="6">
                  <c:v>369.17378895003702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34013</v>
      </c>
      <c r="B6" s="415"/>
      <c r="C6" s="416"/>
    </row>
    <row r="7" spans="1:7" s="413" customFormat="1" ht="15.75" customHeight="1">
      <c r="A7" s="417" t="str">
        <f>txtMunicipality</f>
        <v>HARELBEKE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34013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11884</v>
      </c>
      <c r="C9" s="342">
        <v>11608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1136.28</v>
      </c>
    </row>
    <row r="15" spans="1:6">
      <c r="A15" s="348" t="s">
        <v>184</v>
      </c>
      <c r="B15" s="334">
        <v>12</v>
      </c>
    </row>
    <row r="16" spans="1:6">
      <c r="A16" s="348" t="s">
        <v>6</v>
      </c>
      <c r="B16" s="334">
        <v>417</v>
      </c>
    </row>
    <row r="17" spans="1:6">
      <c r="A17" s="348" t="s">
        <v>7</v>
      </c>
      <c r="B17" s="334">
        <v>413</v>
      </c>
    </row>
    <row r="18" spans="1:6">
      <c r="A18" s="348" t="s">
        <v>8</v>
      </c>
      <c r="B18" s="334">
        <v>567</v>
      </c>
    </row>
    <row r="19" spans="1:6">
      <c r="A19" s="348" t="s">
        <v>9</v>
      </c>
      <c r="B19" s="334">
        <v>613</v>
      </c>
    </row>
    <row r="20" spans="1:6">
      <c r="A20" s="348" t="s">
        <v>10</v>
      </c>
      <c r="B20" s="334">
        <v>531</v>
      </c>
    </row>
    <row r="21" spans="1:6">
      <c r="A21" s="348" t="s">
        <v>11</v>
      </c>
      <c r="B21" s="334">
        <v>1888</v>
      </c>
    </row>
    <row r="22" spans="1:6">
      <c r="A22" s="348" t="s">
        <v>12</v>
      </c>
      <c r="B22" s="334">
        <v>7314</v>
      </c>
    </row>
    <row r="23" spans="1:6">
      <c r="A23" s="348" t="s">
        <v>13</v>
      </c>
      <c r="B23" s="334">
        <v>96</v>
      </c>
    </row>
    <row r="24" spans="1:6">
      <c r="A24" s="348" t="s">
        <v>14</v>
      </c>
      <c r="B24" s="334">
        <v>4</v>
      </c>
    </row>
    <row r="25" spans="1:6">
      <c r="A25" s="348" t="s">
        <v>15</v>
      </c>
      <c r="B25" s="334">
        <v>410</v>
      </c>
    </row>
    <row r="26" spans="1:6">
      <c r="A26" s="348" t="s">
        <v>16</v>
      </c>
      <c r="B26" s="334">
        <v>88</v>
      </c>
    </row>
    <row r="27" spans="1:6">
      <c r="A27" s="348" t="s">
        <v>17</v>
      </c>
      <c r="B27" s="334">
        <v>500</v>
      </c>
    </row>
    <row r="28" spans="1:6" s="356" customFormat="1">
      <c r="A28" s="355" t="s">
        <v>18</v>
      </c>
      <c r="B28" s="355">
        <v>128173</v>
      </c>
    </row>
    <row r="29" spans="1:6">
      <c r="A29" s="355" t="s">
        <v>744</v>
      </c>
      <c r="B29" s="355">
        <v>56</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4</v>
      </c>
      <c r="D35" s="334">
        <v>1062904</v>
      </c>
      <c r="E35" s="334">
        <v>0</v>
      </c>
      <c r="F35" s="334">
        <v>0</v>
      </c>
    </row>
    <row r="36" spans="1:6">
      <c r="A36" s="348" t="s">
        <v>25</v>
      </c>
      <c r="B36" s="348" t="s">
        <v>27</v>
      </c>
      <c r="C36" s="334">
        <v>4</v>
      </c>
      <c r="D36" s="334">
        <v>518672</v>
      </c>
      <c r="E36" s="334">
        <v>19</v>
      </c>
      <c r="F36" s="334">
        <v>6514909</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9079</v>
      </c>
      <c r="D39" s="334">
        <v>122976746.22803654</v>
      </c>
      <c r="E39" s="334">
        <v>11714</v>
      </c>
      <c r="F39" s="334">
        <v>37776408.350000001</v>
      </c>
    </row>
    <row r="40" spans="1:6">
      <c r="A40" s="348" t="s">
        <v>30</v>
      </c>
      <c r="B40" s="348" t="s">
        <v>29</v>
      </c>
      <c r="C40" s="334">
        <v>0</v>
      </c>
      <c r="D40" s="334">
        <v>0</v>
      </c>
      <c r="E40" s="334">
        <v>0</v>
      </c>
      <c r="F40" s="334">
        <v>0</v>
      </c>
    </row>
    <row r="41" spans="1:6">
      <c r="A41" s="348" t="s">
        <v>32</v>
      </c>
      <c r="B41" s="348" t="s">
        <v>33</v>
      </c>
      <c r="C41" s="334">
        <v>163</v>
      </c>
      <c r="D41" s="334">
        <v>6936922.3499999996</v>
      </c>
      <c r="E41" s="334">
        <v>331</v>
      </c>
      <c r="F41" s="334">
        <v>15876433.75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24</v>
      </c>
      <c r="D44" s="334">
        <v>3395742</v>
      </c>
      <c r="E44" s="334">
        <v>54</v>
      </c>
      <c r="F44" s="334">
        <v>4858721</v>
      </c>
    </row>
    <row r="45" spans="1:6">
      <c r="A45" s="348" t="s">
        <v>32</v>
      </c>
      <c r="B45" s="348" t="s">
        <v>37</v>
      </c>
      <c r="C45" s="334">
        <v>3</v>
      </c>
      <c r="D45" s="334">
        <v>131461</v>
      </c>
      <c r="E45" s="334">
        <v>14</v>
      </c>
      <c r="F45" s="334">
        <v>3456133</v>
      </c>
    </row>
    <row r="46" spans="1:6">
      <c r="A46" s="348" t="s">
        <v>32</v>
      </c>
      <c r="B46" s="348" t="s">
        <v>38</v>
      </c>
      <c r="C46" s="334">
        <v>0</v>
      </c>
      <c r="D46" s="334">
        <v>0</v>
      </c>
      <c r="E46" s="334">
        <v>3</v>
      </c>
      <c r="F46" s="334">
        <v>71416</v>
      </c>
    </row>
    <row r="47" spans="1:6">
      <c r="A47" s="348" t="s">
        <v>32</v>
      </c>
      <c r="B47" s="348" t="s">
        <v>39</v>
      </c>
      <c r="C47" s="334">
        <v>16</v>
      </c>
      <c r="D47" s="334">
        <v>6374898</v>
      </c>
      <c r="E47" s="334">
        <v>20</v>
      </c>
      <c r="F47" s="334">
        <v>3829767</v>
      </c>
    </row>
    <row r="48" spans="1:6">
      <c r="A48" s="348" t="s">
        <v>32</v>
      </c>
      <c r="B48" s="348" t="s">
        <v>29</v>
      </c>
      <c r="C48" s="334">
        <v>0</v>
      </c>
      <c r="D48" s="334">
        <v>0</v>
      </c>
      <c r="E48" s="334">
        <v>0</v>
      </c>
      <c r="F48" s="334">
        <v>0</v>
      </c>
    </row>
    <row r="49" spans="1:6">
      <c r="A49" s="348" t="s">
        <v>32</v>
      </c>
      <c r="B49" s="348" t="s">
        <v>40</v>
      </c>
      <c r="C49" s="334">
        <v>14</v>
      </c>
      <c r="D49" s="334">
        <v>52194027</v>
      </c>
      <c r="E49" s="334">
        <v>21</v>
      </c>
      <c r="F49" s="334">
        <v>16158658</v>
      </c>
    </row>
    <row r="50" spans="1:6">
      <c r="A50" s="348" t="s">
        <v>32</v>
      </c>
      <c r="B50" s="348" t="s">
        <v>41</v>
      </c>
      <c r="C50" s="334">
        <v>22</v>
      </c>
      <c r="D50" s="334">
        <v>10949360</v>
      </c>
      <c r="E50" s="334">
        <v>30</v>
      </c>
      <c r="F50" s="334">
        <v>4380354</v>
      </c>
    </row>
    <row r="51" spans="1:6">
      <c r="A51" s="348" t="s">
        <v>42</v>
      </c>
      <c r="B51" s="348" t="s">
        <v>43</v>
      </c>
      <c r="C51" s="334">
        <v>19</v>
      </c>
      <c r="D51" s="334">
        <v>41643279</v>
      </c>
      <c r="E51" s="334">
        <v>66</v>
      </c>
      <c r="F51" s="334">
        <v>13276903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2280669</v>
      </c>
    </row>
    <row r="55" spans="1:6">
      <c r="A55" s="348" t="s">
        <v>46</v>
      </c>
      <c r="B55" s="348" t="s">
        <v>29</v>
      </c>
      <c r="C55" s="334">
        <v>0</v>
      </c>
      <c r="D55" s="334">
        <v>0</v>
      </c>
      <c r="E55" s="334">
        <v>0</v>
      </c>
      <c r="F55" s="334">
        <v>0</v>
      </c>
    </row>
    <row r="56" spans="1:6">
      <c r="A56" s="348" t="s">
        <v>48</v>
      </c>
      <c r="B56" s="348" t="s">
        <v>29</v>
      </c>
      <c r="C56" s="334">
        <v>2</v>
      </c>
      <c r="D56" s="334">
        <v>224548</v>
      </c>
      <c r="E56" s="334">
        <v>8</v>
      </c>
      <c r="F56" s="334">
        <v>20947545</v>
      </c>
    </row>
    <row r="57" spans="1:6">
      <c r="A57" s="348" t="s">
        <v>49</v>
      </c>
      <c r="B57" s="348" t="s">
        <v>50</v>
      </c>
      <c r="C57" s="334">
        <v>96</v>
      </c>
      <c r="D57" s="334">
        <v>9955038.9499999993</v>
      </c>
      <c r="E57" s="334">
        <v>188</v>
      </c>
      <c r="F57" s="334">
        <v>12693568</v>
      </c>
    </row>
    <row r="58" spans="1:6">
      <c r="A58" s="348" t="s">
        <v>49</v>
      </c>
      <c r="B58" s="348" t="s">
        <v>51</v>
      </c>
      <c r="C58" s="334">
        <v>29</v>
      </c>
      <c r="D58" s="334">
        <v>1109941</v>
      </c>
      <c r="E58" s="334">
        <v>46</v>
      </c>
      <c r="F58" s="334">
        <v>1056454</v>
      </c>
    </row>
    <row r="59" spans="1:6">
      <c r="A59" s="348" t="s">
        <v>49</v>
      </c>
      <c r="B59" s="348" t="s">
        <v>52</v>
      </c>
      <c r="C59" s="334">
        <v>219</v>
      </c>
      <c r="D59" s="334">
        <v>78078716.549999997</v>
      </c>
      <c r="E59" s="334">
        <v>385</v>
      </c>
      <c r="F59" s="334">
        <v>38559987.549999997</v>
      </c>
    </row>
    <row r="60" spans="1:6">
      <c r="A60" s="348" t="s">
        <v>49</v>
      </c>
      <c r="B60" s="348" t="s">
        <v>53</v>
      </c>
      <c r="C60" s="334">
        <v>62</v>
      </c>
      <c r="D60" s="334">
        <v>3074358.55</v>
      </c>
      <c r="E60" s="334">
        <v>90</v>
      </c>
      <c r="F60" s="334">
        <v>4491561.55</v>
      </c>
    </row>
    <row r="61" spans="1:6">
      <c r="A61" s="348" t="s">
        <v>49</v>
      </c>
      <c r="B61" s="348" t="s">
        <v>54</v>
      </c>
      <c r="C61" s="334">
        <v>244</v>
      </c>
      <c r="D61" s="334">
        <v>11393627.249999998</v>
      </c>
      <c r="E61" s="334">
        <v>454</v>
      </c>
      <c r="F61" s="334">
        <v>8129322.0499999998</v>
      </c>
    </row>
    <row r="62" spans="1:6">
      <c r="A62" s="348" t="s">
        <v>49</v>
      </c>
      <c r="B62" s="348" t="s">
        <v>55</v>
      </c>
      <c r="C62" s="334">
        <v>20</v>
      </c>
      <c r="D62" s="334">
        <v>1743370</v>
      </c>
      <c r="E62" s="334">
        <v>25</v>
      </c>
      <c r="F62" s="334">
        <v>486538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7</v>
      </c>
      <c r="D68" s="334">
        <v>146512</v>
      </c>
      <c r="E68" s="334">
        <v>12</v>
      </c>
      <c r="F68" s="334">
        <v>128210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56626011</v>
      </c>
      <c r="E73" s="476">
        <v>66159082.633877918</v>
      </c>
    </row>
    <row r="74" spans="1:6">
      <c r="A74" s="348" t="s">
        <v>64</v>
      </c>
      <c r="B74" s="348" t="s">
        <v>657</v>
      </c>
      <c r="C74" s="1213" t="s">
        <v>659</v>
      </c>
      <c r="D74" s="476">
        <v>7523334.647895108</v>
      </c>
      <c r="E74" s="476">
        <v>8279919.3679853212</v>
      </c>
    </row>
    <row r="75" spans="1:6">
      <c r="A75" s="348" t="s">
        <v>65</v>
      </c>
      <c r="B75" s="348" t="s">
        <v>656</v>
      </c>
      <c r="C75" s="1213" t="s">
        <v>660</v>
      </c>
      <c r="D75" s="476">
        <v>35314710</v>
      </c>
      <c r="E75" s="476">
        <v>48448621.592606574</v>
      </c>
    </row>
    <row r="76" spans="1:6">
      <c r="A76" s="348" t="s">
        <v>65</v>
      </c>
      <c r="B76" s="348" t="s">
        <v>657</v>
      </c>
      <c r="C76" s="1213" t="s">
        <v>661</v>
      </c>
      <c r="D76" s="476">
        <v>2629138.6478951084</v>
      </c>
      <c r="E76" s="476">
        <v>2898209.3977296893</v>
      </c>
    </row>
    <row r="77" spans="1:6">
      <c r="A77" s="348" t="s">
        <v>66</v>
      </c>
      <c r="B77" s="348" t="s">
        <v>656</v>
      </c>
      <c r="C77" s="1213" t="s">
        <v>662</v>
      </c>
      <c r="D77" s="476">
        <v>76598324</v>
      </c>
      <c r="E77" s="476">
        <v>82623082.869549736</v>
      </c>
    </row>
    <row r="78" spans="1:6">
      <c r="A78" s="341" t="s">
        <v>66</v>
      </c>
      <c r="B78" s="341" t="s">
        <v>657</v>
      </c>
      <c r="C78" s="341" t="s">
        <v>663</v>
      </c>
      <c r="D78" s="1214">
        <v>18680801</v>
      </c>
      <c r="E78" s="1214">
        <v>19318076.508606836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396302.70420978352</v>
      </c>
      <c r="C83" s="476">
        <v>395971.02595365379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3444.7070931359958</v>
      </c>
    </row>
    <row r="91" spans="1:6">
      <c r="A91" s="348" t="s">
        <v>68</v>
      </c>
      <c r="B91" s="334">
        <v>4855.1308569276698</v>
      </c>
    </row>
    <row r="92" spans="1:6">
      <c r="A92" s="341" t="s">
        <v>69</v>
      </c>
      <c r="B92" s="342">
        <v>12391.729645208001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6352</v>
      </c>
    </row>
    <row r="98" spans="1:6">
      <c r="A98" s="348" t="s">
        <v>72</v>
      </c>
      <c r="B98" s="334">
        <v>0</v>
      </c>
    </row>
    <row r="99" spans="1:6">
      <c r="A99" s="348" t="s">
        <v>73</v>
      </c>
      <c r="B99" s="334">
        <v>112</v>
      </c>
    </row>
    <row r="100" spans="1:6">
      <c r="A100" s="348" t="s">
        <v>74</v>
      </c>
      <c r="B100" s="334">
        <v>800</v>
      </c>
    </row>
    <row r="101" spans="1:6">
      <c r="A101" s="348" t="s">
        <v>75</v>
      </c>
      <c r="B101" s="334">
        <v>112</v>
      </c>
    </row>
    <row r="102" spans="1:6">
      <c r="A102" s="348" t="s">
        <v>76</v>
      </c>
      <c r="B102" s="334">
        <v>177</v>
      </c>
    </row>
    <row r="103" spans="1:6">
      <c r="A103" s="348" t="s">
        <v>77</v>
      </c>
      <c r="B103" s="334">
        <v>204</v>
      </c>
    </row>
    <row r="104" spans="1:6">
      <c r="A104" s="348" t="s">
        <v>78</v>
      </c>
      <c r="B104" s="334">
        <v>2528</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28</v>
      </c>
      <c r="C123" s="334">
        <v>103</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228</v>
      </c>
    </row>
    <row r="130" spans="1:6">
      <c r="A130" s="348" t="s">
        <v>295</v>
      </c>
      <c r="B130" s="334">
        <v>3</v>
      </c>
    </row>
    <row r="131" spans="1:6">
      <c r="A131" s="348" t="s">
        <v>296</v>
      </c>
      <c r="B131" s="334">
        <v>6</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173645.32892567985</v>
      </c>
      <c r="C3" s="43" t="s">
        <v>170</v>
      </c>
      <c r="D3" s="43"/>
      <c r="E3" s="154"/>
      <c r="F3" s="43"/>
      <c r="G3" s="43"/>
      <c r="H3" s="43"/>
      <c r="I3" s="43"/>
      <c r="J3" s="43"/>
      <c r="K3" s="96"/>
    </row>
    <row r="4" spans="1:11">
      <c r="A4" s="383" t="s">
        <v>171</v>
      </c>
      <c r="B4" s="49">
        <f>IF(ISERROR('SEAP template'!B69),0,'SEAP template'!B69)</f>
        <v>43016.06759527167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4412.3929411764711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0.1916634320145815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6303.4184873949598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29976.428571428572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0.21027916892684595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2280.6689999999999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2280.6689999999999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0.1916634320145815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437.12084782926354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37776.408349999998</v>
      </c>
      <c r="C5" s="17">
        <f>IF(ISERROR('Eigen informatie GS &amp; warmtenet'!B57),0,'Eigen informatie GS &amp; warmtenet'!B57)</f>
        <v>0</v>
      </c>
      <c r="D5" s="30">
        <f>(SUM(HH_hh_gas_kWh,HH_rest_gas_kWh)/1000)*0.902</f>
        <v>110925.02509768897</v>
      </c>
      <c r="E5" s="17">
        <f>B46*B57</f>
        <v>6391.7305065940227</v>
      </c>
      <c r="F5" s="17">
        <f>B51*B62</f>
        <v>0</v>
      </c>
      <c r="G5" s="18"/>
      <c r="H5" s="17"/>
      <c r="I5" s="17"/>
      <c r="J5" s="17">
        <f>B50*B61+C50*C61</f>
        <v>0</v>
      </c>
      <c r="K5" s="17"/>
      <c r="L5" s="17"/>
      <c r="M5" s="17"/>
      <c r="N5" s="17">
        <f>B48*B59+C48*C59</f>
        <v>21782.670581040504</v>
      </c>
      <c r="O5" s="17">
        <f>B69*B70*B71</f>
        <v>522.15333333333331</v>
      </c>
      <c r="P5" s="17">
        <f>B77*B78*B79/1000-B77*B78*B79/1000/B80</f>
        <v>858</v>
      </c>
    </row>
    <row r="6" spans="1:16">
      <c r="A6" s="16" t="s">
        <v>621</v>
      </c>
      <c r="B6" s="843">
        <f>kWh_PV_kleiner_dan_10kW</f>
        <v>4855.1308569276698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42631.539206927671</v>
      </c>
      <c r="C8" s="21">
        <f>C5</f>
        <v>0</v>
      </c>
      <c r="D8" s="21">
        <f>D5</f>
        <v>110925.02509768897</v>
      </c>
      <c r="E8" s="21">
        <f>E5</f>
        <v>6391.7305065940227</v>
      </c>
      <c r="F8" s="21">
        <f>F5</f>
        <v>0</v>
      </c>
      <c r="G8" s="21"/>
      <c r="H8" s="21"/>
      <c r="I8" s="21"/>
      <c r="J8" s="21">
        <f>J5</f>
        <v>0</v>
      </c>
      <c r="K8" s="21"/>
      <c r="L8" s="21">
        <f>L5</f>
        <v>0</v>
      </c>
      <c r="M8" s="21">
        <f>M5</f>
        <v>0</v>
      </c>
      <c r="N8" s="21">
        <f>N5</f>
        <v>21782.670581040504</v>
      </c>
      <c r="O8" s="21">
        <f>O5</f>
        <v>522.15333333333331</v>
      </c>
      <c r="P8" s="21">
        <f>P5</f>
        <v>858</v>
      </c>
    </row>
    <row r="9" spans="1:16">
      <c r="B9" s="19"/>
      <c r="C9" s="19"/>
      <c r="D9" s="258"/>
      <c r="E9" s="19"/>
      <c r="F9" s="19"/>
      <c r="G9" s="19"/>
      <c r="H9" s="19"/>
      <c r="I9" s="19"/>
      <c r="J9" s="19"/>
      <c r="K9" s="19"/>
      <c r="L9" s="19"/>
      <c r="M9" s="19"/>
      <c r="N9" s="19"/>
      <c r="O9" s="19"/>
      <c r="P9" s="19"/>
    </row>
    <row r="10" spans="1:16">
      <c r="A10" s="24" t="s">
        <v>214</v>
      </c>
      <c r="B10" s="25">
        <f ca="1">'EF ele_warmte'!B12</f>
        <v>0.1916634320145815</v>
      </c>
      <c r="C10" s="25">
        <f ca="1">'EF ele_warmte'!B22</f>
        <v>0.21027916892684595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8170.9071164639472</v>
      </c>
      <c r="C12" s="23">
        <f ca="1">C10*C8</f>
        <v>0</v>
      </c>
      <c r="D12" s="23">
        <f>D8*D10</f>
        <v>22406.855069733174</v>
      </c>
      <c r="E12" s="23">
        <f>E10*E8</f>
        <v>1450.9228249968432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6352</v>
      </c>
      <c r="C18" s="166" t="s">
        <v>111</v>
      </c>
      <c r="D18" s="228"/>
      <c r="E18" s="15"/>
    </row>
    <row r="19" spans="1:7">
      <c r="A19" s="171" t="s">
        <v>72</v>
      </c>
      <c r="B19" s="37">
        <f>aantalw2001_ander</f>
        <v>0</v>
      </c>
      <c r="C19" s="166" t="s">
        <v>111</v>
      </c>
      <c r="D19" s="229"/>
      <c r="E19" s="15"/>
    </row>
    <row r="20" spans="1:7">
      <c r="A20" s="171" t="s">
        <v>73</v>
      </c>
      <c r="B20" s="37">
        <f>aantalw2001_propaan</f>
        <v>112</v>
      </c>
      <c r="C20" s="167">
        <f>IF(ISERROR(B20/SUM($B$20,$B$21,$B$22)*100),0,B20/SUM($B$20,$B$21,$B$22)*100)</f>
        <v>10.9375</v>
      </c>
      <c r="D20" s="229"/>
      <c r="E20" s="15"/>
    </row>
    <row r="21" spans="1:7">
      <c r="A21" s="171" t="s">
        <v>74</v>
      </c>
      <c r="B21" s="37">
        <f>aantalw2001_elektriciteit</f>
        <v>800</v>
      </c>
      <c r="C21" s="167">
        <f>IF(ISERROR(B21/SUM($B$20,$B$21,$B$22)*100),0,B21/SUM($B$20,$B$21,$B$22)*100)</f>
        <v>78.125</v>
      </c>
      <c r="D21" s="229"/>
      <c r="E21" s="15"/>
    </row>
    <row r="22" spans="1:7">
      <c r="A22" s="171" t="s">
        <v>75</v>
      </c>
      <c r="B22" s="37">
        <f>aantalw2001_hout</f>
        <v>112</v>
      </c>
      <c r="C22" s="167">
        <f>IF(ISERROR(B22/SUM($B$20,$B$21,$B$22)*100),0,B22/SUM($B$20,$B$21,$B$22)*100)</f>
        <v>10.9375</v>
      </c>
      <c r="D22" s="229"/>
      <c r="E22" s="15"/>
    </row>
    <row r="23" spans="1:7">
      <c r="A23" s="171" t="s">
        <v>76</v>
      </c>
      <c r="B23" s="37">
        <f>aantalw2001_niet_gespec</f>
        <v>177</v>
      </c>
      <c r="C23" s="166" t="s">
        <v>111</v>
      </c>
      <c r="D23" s="228"/>
      <c r="E23" s="15"/>
    </row>
    <row r="24" spans="1:7">
      <c r="A24" s="171" t="s">
        <v>77</v>
      </c>
      <c r="B24" s="37">
        <f>aantalw2001_steenkool</f>
        <v>204</v>
      </c>
      <c r="C24" s="166" t="s">
        <v>111</v>
      </c>
      <c r="D24" s="229"/>
      <c r="E24" s="15"/>
    </row>
    <row r="25" spans="1:7">
      <c r="A25" s="171" t="s">
        <v>78</v>
      </c>
      <c r="B25" s="37">
        <f>aantalw2001_stookolie</f>
        <v>2528</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794</v>
      </c>
      <c r="B28" s="37">
        <f>aantalHuishoudens2011</f>
        <v>11884</v>
      </c>
      <c r="C28" s="36"/>
      <c r="D28" s="228"/>
    </row>
    <row r="29" spans="1:7" s="15" customFormat="1">
      <c r="A29" s="230" t="s">
        <v>795</v>
      </c>
      <c r="B29" s="37">
        <f>SUM(HH_hh_gas_aantal,HH_rest_gas_aantal)</f>
        <v>9079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9079</v>
      </c>
      <c r="C32" s="167">
        <f>IF(ISERROR(B32/SUM($B$32,$B$34,$B$35,$B$36,$B$38,$B$39)*100),0,B32/SUM($B$32,$B$34,$B$35,$B$36,$B$38,$B$39)*100)</f>
        <v>76.687220204409158</v>
      </c>
      <c r="D32" s="233"/>
      <c r="G32" s="15"/>
    </row>
    <row r="33" spans="1:7">
      <c r="A33" s="171" t="s">
        <v>72</v>
      </c>
      <c r="B33" s="34" t="s">
        <v>111</v>
      </c>
      <c r="C33" s="167"/>
      <c r="D33" s="233"/>
      <c r="G33" s="15"/>
    </row>
    <row r="34" spans="1:7">
      <c r="A34" s="171" t="s">
        <v>73</v>
      </c>
      <c r="B34" s="33">
        <f>IF((($B$28-$B$32-$B$39-$B$77-$B$38)*C20/100)&lt;0,0,($B$28-$B$32-$B$39-$B$77-$B$38)*C20/100)</f>
        <v>301.875</v>
      </c>
      <c r="C34" s="167">
        <f>IF(ISERROR(B34/SUM($B$32,$B$34,$B$35,$B$36,$B$38,$B$39)*100),0,B34/SUM($B$32,$B$34,$B$35,$B$36,$B$38,$B$39)*100)</f>
        <v>2.5498352901427488</v>
      </c>
      <c r="D34" s="233"/>
      <c r="G34" s="15"/>
    </row>
    <row r="35" spans="1:7">
      <c r="A35" s="171" t="s">
        <v>74</v>
      </c>
      <c r="B35" s="33">
        <f>IF((($B$28-$B$32-$B$39-$B$77-$B$38)*C21/100)&lt;0,0,($B$28-$B$32-$B$39-$B$77-$B$38)*C21/100)</f>
        <v>2156.25</v>
      </c>
      <c r="C35" s="167">
        <f>IF(ISERROR(B35/SUM($B$32,$B$34,$B$35,$B$36,$B$38,$B$39)*100),0,B35/SUM($B$32,$B$34,$B$35,$B$36,$B$38,$B$39)*100)</f>
        <v>18.213109215305348</v>
      </c>
      <c r="D35" s="233"/>
      <c r="G35" s="15"/>
    </row>
    <row r="36" spans="1:7">
      <c r="A36" s="171" t="s">
        <v>75</v>
      </c>
      <c r="B36" s="33">
        <f>IF((($B$28-$B$32-$B$39-$B$77-$B$38)*C22/100)&lt;0,0,($B$28-$B$32-$B$39-$B$77-$B$38)*C22/100)</f>
        <v>301.875</v>
      </c>
      <c r="C36" s="167">
        <f>IF(ISERROR(B36/SUM($B$32,$B$34,$B$35,$B$36,$B$38,$B$39)*100),0,B36/SUM($B$32,$B$34,$B$35,$B$36,$B$38,$B$39)*100)</f>
        <v>2.5498352901427488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9079</v>
      </c>
      <c r="C44" s="34" t="s">
        <v>111</v>
      </c>
      <c r="D44" s="174"/>
    </row>
    <row r="45" spans="1:7">
      <c r="A45" s="171" t="s">
        <v>72</v>
      </c>
      <c r="B45" s="33" t="str">
        <f t="shared" si="0"/>
        <v>-</v>
      </c>
      <c r="C45" s="34" t="s">
        <v>111</v>
      </c>
      <c r="D45" s="174"/>
    </row>
    <row r="46" spans="1:7">
      <c r="A46" s="171" t="s">
        <v>73</v>
      </c>
      <c r="B46" s="33">
        <f t="shared" si="0"/>
        <v>301.875</v>
      </c>
      <c r="C46" s="34" t="s">
        <v>111</v>
      </c>
      <c r="D46" s="174"/>
    </row>
    <row r="47" spans="1:7">
      <c r="A47" s="171" t="s">
        <v>74</v>
      </c>
      <c r="B47" s="33">
        <f t="shared" si="0"/>
        <v>2156.25</v>
      </c>
      <c r="C47" s="34" t="s">
        <v>111</v>
      </c>
      <c r="D47" s="174"/>
    </row>
    <row r="48" spans="1:7">
      <c r="A48" s="171" t="s">
        <v>75</v>
      </c>
      <c r="B48" s="33">
        <f t="shared" si="0"/>
        <v>301.875</v>
      </c>
      <c r="C48" s="33">
        <f>B48*10</f>
        <v>3018.75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65417.431149999997</v>
      </c>
      <c r="C5" s="17">
        <f>IF(ISERROR('Eigen informatie GS &amp; warmtenet'!B58),0,'Eigen informatie GS &amp; warmtenet'!B58)</f>
        <v>0</v>
      </c>
      <c r="D5" s="30">
        <f>SUM(D6:D12)</f>
        <v>95030.257174600003</v>
      </c>
      <c r="E5" s="17">
        <f>SUM(E6:E12)</f>
        <v>1485.472857256929</v>
      </c>
      <c r="F5" s="17">
        <f>SUM(F6:F12)</f>
        <v>12780.824214739332</v>
      </c>
      <c r="G5" s="18"/>
      <c r="H5" s="17"/>
      <c r="I5" s="17"/>
      <c r="J5" s="17">
        <f>SUM(J6:J12)</f>
        <v>0.27552760386733965</v>
      </c>
      <c r="K5" s="17"/>
      <c r="L5" s="17"/>
      <c r="M5" s="17"/>
      <c r="N5" s="17">
        <f>SUM(N6:N12)</f>
        <v>10859.257996860215</v>
      </c>
      <c r="O5" s="17">
        <f>B38*B39*B40</f>
        <v>4.6900000000000004</v>
      </c>
      <c r="P5" s="17">
        <f>B46*B47*B48/1000-B46*B47*B48/1000/B49</f>
        <v>133.46666666666667</v>
      </c>
      <c r="R5" s="32"/>
    </row>
    <row r="6" spans="1:18">
      <c r="A6" s="32" t="s">
        <v>54</v>
      </c>
      <c r="B6" s="37">
        <f>B26</f>
        <v>8129.3220499999998</v>
      </c>
      <c r="C6" s="33"/>
      <c r="D6" s="37">
        <f>IF(ISERROR(TER_kantoor_gas_kWh/1000),0,TER_kantoor_gas_kWh/1000)*0.902</f>
        <v>10277.051779499998</v>
      </c>
      <c r="E6" s="33">
        <f>$C$26*'E Balans VL '!I12/100/3.6*1000000</f>
        <v>5.0951886839244544E-2</v>
      </c>
      <c r="F6" s="33">
        <f>$C$26*('E Balans VL '!L12+'E Balans VL '!N12)/100/3.6*1000000</f>
        <v>1221.6099491923032</v>
      </c>
      <c r="G6" s="34"/>
      <c r="H6" s="33"/>
      <c r="I6" s="33"/>
      <c r="J6" s="33">
        <f>$C$26*('E Balans VL '!D12+'E Balans VL '!E12)/100/3.6*1000000</f>
        <v>0</v>
      </c>
      <c r="K6" s="33"/>
      <c r="L6" s="33"/>
      <c r="M6" s="33"/>
      <c r="N6" s="33">
        <f>$C$26*'E Balans VL '!Y12/100/3.6*1000000</f>
        <v>7.7744912365559751</v>
      </c>
      <c r="O6" s="33"/>
      <c r="P6" s="33"/>
      <c r="R6" s="32"/>
    </row>
    <row r="7" spans="1:18">
      <c r="A7" s="32" t="s">
        <v>53</v>
      </c>
      <c r="B7" s="37">
        <f t="shared" ref="B7:B12" si="0">B27</f>
        <v>4491.5615499999994</v>
      </c>
      <c r="C7" s="33"/>
      <c r="D7" s="37">
        <f>IF(ISERROR(TER_horeca_gas_kWh/1000),0,TER_horeca_gas_kWh/1000)*0.902</f>
        <v>2773.0714121000001</v>
      </c>
      <c r="E7" s="33">
        <f>$C$27*'E Balans VL '!I9/100/3.6*1000000</f>
        <v>64.318413244666431</v>
      </c>
      <c r="F7" s="33">
        <f>$C$27*('E Balans VL '!L9+'E Balans VL '!N9)/100/3.6*1000000</f>
        <v>568.77982963704051</v>
      </c>
      <c r="G7" s="34"/>
      <c r="H7" s="33"/>
      <c r="I7" s="33"/>
      <c r="J7" s="33">
        <f>$C$27*('E Balans VL '!D9+'E Balans VL '!E9)/100/3.6*1000000</f>
        <v>0</v>
      </c>
      <c r="K7" s="33"/>
      <c r="L7" s="33"/>
      <c r="M7" s="33"/>
      <c r="N7" s="33">
        <f>$C$27*'E Balans VL '!Y9/100/3.6*1000000</f>
        <v>1.2912249151935615</v>
      </c>
      <c r="O7" s="33"/>
      <c r="P7" s="33"/>
      <c r="R7" s="32"/>
    </row>
    <row r="8" spans="1:18">
      <c r="A8" s="6" t="s">
        <v>52</v>
      </c>
      <c r="B8" s="37">
        <f t="shared" si="0"/>
        <v>38559.987549999998</v>
      </c>
      <c r="C8" s="33"/>
      <c r="D8" s="37">
        <f>IF(ISERROR(TER_handel_gas_kWh/1000),0,TER_handel_gas_kWh/1000)*0.902</f>
        <v>70427.002328100003</v>
      </c>
      <c r="E8" s="33">
        <f>$C$28*'E Balans VL '!I13/100/3.6*1000000</f>
        <v>1398.5659934338669</v>
      </c>
      <c r="F8" s="33">
        <f>$C$28*('E Balans VL '!L13+'E Balans VL '!N13)/100/3.6*1000000</f>
        <v>7427.0440468276429</v>
      </c>
      <c r="G8" s="34"/>
      <c r="H8" s="33"/>
      <c r="I8" s="33"/>
      <c r="J8" s="33">
        <f>$C$28*('E Balans VL '!D13+'E Balans VL '!E13)/100/3.6*1000000</f>
        <v>0</v>
      </c>
      <c r="K8" s="33"/>
      <c r="L8" s="33"/>
      <c r="M8" s="33"/>
      <c r="N8" s="33">
        <f>$C$28*'E Balans VL '!Y13/100/3.6*1000000</f>
        <v>53.414455014194438</v>
      </c>
      <c r="O8" s="33"/>
      <c r="P8" s="33"/>
      <c r="R8" s="32"/>
    </row>
    <row r="9" spans="1:18">
      <c r="A9" s="32" t="s">
        <v>51</v>
      </c>
      <c r="B9" s="37">
        <f t="shared" si="0"/>
        <v>1056.454</v>
      </c>
      <c r="C9" s="33"/>
      <c r="D9" s="37">
        <f>IF(ISERROR(TER_gezond_gas_kWh/1000),0,TER_gezond_gas_kWh/1000)*0.902</f>
        <v>1001.166782</v>
      </c>
      <c r="E9" s="33">
        <f>$C$29*'E Balans VL '!I10/100/3.6*1000000</f>
        <v>6.6144450998853355E-2</v>
      </c>
      <c r="F9" s="33">
        <f>$C$29*('E Balans VL '!L10+'E Balans VL '!N10)/100/3.6*1000000</f>
        <v>156.9394582960976</v>
      </c>
      <c r="G9" s="34"/>
      <c r="H9" s="33"/>
      <c r="I9" s="33"/>
      <c r="J9" s="33">
        <f>$C$29*('E Balans VL '!D10+'E Balans VL '!E10)/100/3.6*1000000</f>
        <v>0</v>
      </c>
      <c r="K9" s="33"/>
      <c r="L9" s="33"/>
      <c r="M9" s="33"/>
      <c r="N9" s="33">
        <f>$C$29*'E Balans VL '!Y10/100/3.6*1000000</f>
        <v>16.341332411097227</v>
      </c>
      <c r="O9" s="33"/>
      <c r="P9" s="33"/>
      <c r="R9" s="32"/>
    </row>
    <row r="10" spans="1:18">
      <c r="A10" s="32" t="s">
        <v>50</v>
      </c>
      <c r="B10" s="37">
        <f t="shared" si="0"/>
        <v>12693.567999999999</v>
      </c>
      <c r="C10" s="33"/>
      <c r="D10" s="37">
        <f>IF(ISERROR(TER_ander_gas_kWh/1000),0,TER_ander_gas_kWh/1000)*0.902</f>
        <v>8979.4451329000003</v>
      </c>
      <c r="E10" s="33">
        <f>$C$30*'E Balans VL '!I14/100/3.6*1000000</f>
        <v>15.13027946452317</v>
      </c>
      <c r="F10" s="33">
        <f>$C$30*('E Balans VL '!L14+'E Balans VL '!N14)/100/3.6*1000000</f>
        <v>3321.2017005104649</v>
      </c>
      <c r="G10" s="34"/>
      <c r="H10" s="33"/>
      <c r="I10" s="33"/>
      <c r="J10" s="33">
        <f>$C$30*('E Balans VL '!D14+'E Balans VL '!E14)/100/3.6*1000000</f>
        <v>0.27552760386733965</v>
      </c>
      <c r="K10" s="33"/>
      <c r="L10" s="33"/>
      <c r="M10" s="33"/>
      <c r="N10" s="33">
        <f>$C$30*'E Balans VL '!Y14/100/3.6*1000000</f>
        <v>10779.067338363147</v>
      </c>
      <c r="O10" s="33"/>
      <c r="P10" s="33"/>
      <c r="R10" s="32"/>
    </row>
    <row r="11" spans="1:18">
      <c r="A11" s="32" t="s">
        <v>55</v>
      </c>
      <c r="B11" s="37">
        <f t="shared" si="0"/>
        <v>486.53800000000001</v>
      </c>
      <c r="C11" s="33"/>
      <c r="D11" s="37">
        <f>IF(ISERROR(TER_onderwijs_gas_kWh/1000),0,TER_onderwijs_gas_kWh/1000)*0.902</f>
        <v>1572.51974</v>
      </c>
      <c r="E11" s="33">
        <f>$C$31*'E Balans VL '!I11/100/3.6*1000000</f>
        <v>7.3410747760345352</v>
      </c>
      <c r="F11" s="33">
        <f>$C$31*('E Balans VL '!L11+'E Balans VL '!N11)/100/3.6*1000000</f>
        <v>85.249230275784498</v>
      </c>
      <c r="G11" s="34"/>
      <c r="H11" s="33"/>
      <c r="I11" s="33"/>
      <c r="J11" s="33">
        <f>$C$31*('E Balans VL '!D11+'E Balans VL '!E11)/100/3.6*1000000</f>
        <v>0</v>
      </c>
      <c r="K11" s="33"/>
      <c r="L11" s="33"/>
      <c r="M11" s="33"/>
      <c r="N11" s="33">
        <f>$C$31*'E Balans VL '!Y11/100/3.6*1000000</f>
        <v>1.3691549200273334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1341</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-3831.4285714285716</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66758.431149999989</v>
      </c>
      <c r="C16" s="21">
        <f t="shared" ca="1" si="1"/>
        <v>0</v>
      </c>
      <c r="D16" s="21">
        <f t="shared" ca="1" si="1"/>
        <v>95030.257174600003</v>
      </c>
      <c r="E16" s="21">
        <f t="shared" si="1"/>
        <v>1485.472857256929</v>
      </c>
      <c r="F16" s="21">
        <f t="shared" ca="1" si="1"/>
        <v>12780.824214739332</v>
      </c>
      <c r="G16" s="21">
        <f t="shared" si="1"/>
        <v>0</v>
      </c>
      <c r="H16" s="21">
        <f t="shared" si="1"/>
        <v>0</v>
      </c>
      <c r="I16" s="21">
        <f t="shared" si="1"/>
        <v>0</v>
      </c>
      <c r="J16" s="21">
        <f t="shared" si="1"/>
        <v>0.27552760386733965</v>
      </c>
      <c r="K16" s="21">
        <f t="shared" si="1"/>
        <v>0</v>
      </c>
      <c r="L16" s="21">
        <f t="shared" ca="1" si="1"/>
        <v>0</v>
      </c>
      <c r="M16" s="21">
        <f t="shared" si="1"/>
        <v>0</v>
      </c>
      <c r="N16" s="21">
        <f t="shared" ca="1" si="1"/>
        <v>7027.8294254316434</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0.1916634320145815</v>
      </c>
      <c r="C18" s="25">
        <f ca="1">'EF ele_warmte'!B22</f>
        <v>0.21027916892684595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12795.150030118142</v>
      </c>
      <c r="C20" s="23">
        <f t="shared" ref="C20:P20" ca="1" si="2">C16*C18</f>
        <v>0</v>
      </c>
      <c r="D20" s="23">
        <f t="shared" ca="1" si="2"/>
        <v>19196.111949269201</v>
      </c>
      <c r="E20" s="23">
        <f t="shared" si="2"/>
        <v>337.20233859732292</v>
      </c>
      <c r="F20" s="23">
        <f t="shared" ca="1" si="2"/>
        <v>3412.4800653354018</v>
      </c>
      <c r="G20" s="23">
        <f t="shared" si="2"/>
        <v>0</v>
      </c>
      <c r="H20" s="23">
        <f t="shared" si="2"/>
        <v>0</v>
      </c>
      <c r="I20" s="23">
        <f t="shared" si="2"/>
        <v>0</v>
      </c>
      <c r="J20" s="23">
        <f t="shared" si="2"/>
        <v>9.753677176903823E-2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8129.3220499999998</v>
      </c>
      <c r="C26" s="39">
        <f>IF(ISERROR(B26*3.6/1000000/'E Balans VL '!Z12*100),0,B26*3.6/1000000/'E Balans VL '!Z12*100)</f>
        <v>0.17184099025066063</v>
      </c>
      <c r="D26" s="237" t="s">
        <v>754</v>
      </c>
      <c r="F26" s="6"/>
    </row>
    <row r="27" spans="1:18">
      <c r="A27" s="231" t="s">
        <v>53</v>
      </c>
      <c r="B27" s="33">
        <f>IF(ISERROR(TER_horeca_ele_kWh/1000),0,TER_horeca_ele_kWh/1000)</f>
        <v>4491.5615499999994</v>
      </c>
      <c r="C27" s="39">
        <f>IF(ISERROR(B27*3.6/1000000/'E Balans VL '!Z9*100),0,B27*3.6/1000000/'E Balans VL '!Z9*100)</f>
        <v>0.35406812289604489</v>
      </c>
      <c r="D27" s="237" t="s">
        <v>754</v>
      </c>
      <c r="F27" s="6"/>
    </row>
    <row r="28" spans="1:18">
      <c r="A28" s="171" t="s">
        <v>52</v>
      </c>
      <c r="B28" s="33">
        <f>IF(ISERROR(TER_handel_ele_kWh/1000),0,TER_handel_ele_kWh/1000)</f>
        <v>38559.987549999998</v>
      </c>
      <c r="C28" s="39">
        <f>IF(ISERROR(B28*3.6/1000000/'E Balans VL '!Z13*100),0,B28*3.6/1000000/'E Balans VL '!Z13*100)</f>
        <v>1.1191666385090215</v>
      </c>
      <c r="D28" s="237" t="s">
        <v>754</v>
      </c>
      <c r="F28" s="6"/>
    </row>
    <row r="29" spans="1:18">
      <c r="A29" s="231" t="s">
        <v>51</v>
      </c>
      <c r="B29" s="33">
        <f>IF(ISERROR(TER_gezond_ele_kWh/1000),0,TER_gezond_ele_kWh/1000)</f>
        <v>1056.454</v>
      </c>
      <c r="C29" s="39">
        <f>IF(ISERROR(B29*3.6/1000000/'E Balans VL '!Z10*100),0,B29*3.6/1000000/'E Balans VL '!Z10*100)</f>
        <v>0.11126195363258516</v>
      </c>
      <c r="D29" s="237" t="s">
        <v>754</v>
      </c>
      <c r="F29" s="6"/>
    </row>
    <row r="30" spans="1:18">
      <c r="A30" s="231" t="s">
        <v>50</v>
      </c>
      <c r="B30" s="33">
        <f>IF(ISERROR(TER_ander_ele_kWh/1000),0,TER_ander_ele_kWh/1000)</f>
        <v>12693.567999999999</v>
      </c>
      <c r="C30" s="39">
        <f>IF(ISERROR(B30*3.6/1000000/'E Balans VL '!Z14*100),0,B30*3.6/1000000/'E Balans VL '!Z14*100)</f>
        <v>0.93628033270925504</v>
      </c>
      <c r="D30" s="237" t="s">
        <v>754</v>
      </c>
      <c r="F30" s="6"/>
    </row>
    <row r="31" spans="1:18">
      <c r="A31" s="231" t="s">
        <v>55</v>
      </c>
      <c r="B31" s="33">
        <f>IF(ISERROR(TER_onderwijs_ele_kWh/1000),0,TER_onderwijs_ele_kWh/1000)</f>
        <v>486.53800000000001</v>
      </c>
      <c r="C31" s="39">
        <f>IF(ISERROR(B31*3.6/1000000/'E Balans VL '!Z11*100),0,B31*3.6/1000000/'E Balans VL '!Z11*100)</f>
        <v>0.1208301761821161</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7</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48631.482750000003</v>
      </c>
      <c r="C5" s="17">
        <f>IF(ISERROR('Eigen informatie GS &amp; warmtenet'!B59),0,'Eigen informatie GS &amp; warmtenet'!B59)</f>
        <v>0</v>
      </c>
      <c r="D5" s="30">
        <f>SUM(D6:D15)</f>
        <v>72144.134135700006</v>
      </c>
      <c r="E5" s="17">
        <f>SUM(E6:E15)</f>
        <v>4849.1924684936384</v>
      </c>
      <c r="F5" s="17">
        <f>SUM(F6:F15)</f>
        <v>16422.954845072189</v>
      </c>
      <c r="G5" s="18"/>
      <c r="H5" s="17"/>
      <c r="I5" s="17"/>
      <c r="J5" s="17">
        <f>SUM(J6:J15)</f>
        <v>26.71879784468014</v>
      </c>
      <c r="K5" s="17"/>
      <c r="L5" s="17"/>
      <c r="M5" s="17"/>
      <c r="N5" s="17">
        <f>SUM(N6:N15)</f>
        <v>18397.457240783358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71.415999999999997</v>
      </c>
      <c r="C7" s="33"/>
      <c r="D7" s="37">
        <f>IF( ISERROR(IND_nonf_gas_kWhh/1000),0,IND_nonf_gas_kWh/1000)*0.902</f>
        <v>0</v>
      </c>
      <c r="E7" s="33">
        <f>C29*'E Balans VL '!I17/100/3.6*1000000</f>
        <v>0.66140275314784525</v>
      </c>
      <c r="F7" s="33">
        <f>C29*'E Balans VL '!L17/100/3.6*1000000+C29*'E Balans VL '!N17/100/3.6*1000000</f>
        <v>16.7202694342289</v>
      </c>
      <c r="G7" s="34"/>
      <c r="H7" s="33"/>
      <c r="I7" s="33"/>
      <c r="J7" s="40">
        <f>C29*'E Balans VL '!D17/100/3.6*1000000+C29*'E Balans VL '!E17/100/3.6*1000000</f>
        <v>20.44702041294212</v>
      </c>
      <c r="K7" s="33"/>
      <c r="L7" s="33"/>
      <c r="M7" s="33"/>
      <c r="N7" s="33">
        <f>C29*'E Balans VL '!Y17/100/3.6*1000000</f>
        <v>0</v>
      </c>
      <c r="O7" s="33"/>
      <c r="P7" s="33"/>
      <c r="R7" s="32"/>
    </row>
    <row r="8" spans="1:18">
      <c r="A8" s="6" t="s">
        <v>36</v>
      </c>
      <c r="B8" s="37">
        <f t="shared" si="0"/>
        <v>4858.7209999999995</v>
      </c>
      <c r="C8" s="33"/>
      <c r="D8" s="37">
        <f>IF( ISERROR(IND_metaal_Gas_kWH/1000),0,IND_metaal_Gas_kWH/1000)*0.902</f>
        <v>3062.959284</v>
      </c>
      <c r="E8" s="33">
        <f>C30*'E Balans VL '!I18/100/3.6*1000000</f>
        <v>44.671246997631471</v>
      </c>
      <c r="F8" s="33">
        <f>C30*'E Balans VL '!L18/100/3.6*1000000+C30*'E Balans VL '!N18/100/3.6*1000000</f>
        <v>455.58626660349762</v>
      </c>
      <c r="G8" s="34"/>
      <c r="H8" s="33"/>
      <c r="I8" s="33"/>
      <c r="J8" s="40">
        <f>C30*'E Balans VL '!D18/100/3.6*1000000+C30*'E Balans VL '!E18/100/3.6*1000000</f>
        <v>0</v>
      </c>
      <c r="K8" s="33"/>
      <c r="L8" s="33"/>
      <c r="M8" s="33"/>
      <c r="N8" s="33">
        <f>C30*'E Balans VL '!Y18/100/3.6*1000000</f>
        <v>69.317684439577889</v>
      </c>
      <c r="O8" s="33"/>
      <c r="P8" s="33"/>
      <c r="R8" s="32"/>
    </row>
    <row r="9" spans="1:18">
      <c r="A9" s="6" t="s">
        <v>33</v>
      </c>
      <c r="B9" s="37">
        <f t="shared" si="0"/>
        <v>15876.43375</v>
      </c>
      <c r="C9" s="33"/>
      <c r="D9" s="37">
        <f>IF( ISERROR(IND_andere_gas_kWh/1000),0,IND_andere_gas_kWh/1000)*0.902</f>
        <v>6257.1039596999999</v>
      </c>
      <c r="E9" s="33">
        <f>C31*'E Balans VL '!I19/100/3.6*1000000</f>
        <v>4640.9906628346071</v>
      </c>
      <c r="F9" s="33">
        <f>C31*'E Balans VL '!L19/100/3.6*1000000+C31*'E Balans VL '!N19/100/3.6*1000000</f>
        <v>12757.916253737289</v>
      </c>
      <c r="G9" s="34"/>
      <c r="H9" s="33"/>
      <c r="I9" s="33"/>
      <c r="J9" s="40">
        <f>C31*'E Balans VL '!D19/100/3.6*1000000+C31*'E Balans VL '!E19/100/3.6*1000000</f>
        <v>0</v>
      </c>
      <c r="K9" s="33"/>
      <c r="L9" s="33"/>
      <c r="M9" s="33"/>
      <c r="N9" s="33">
        <f>C31*'E Balans VL '!Y19/100/3.6*1000000</f>
        <v>5245.8199370300226</v>
      </c>
      <c r="O9" s="33"/>
      <c r="P9" s="33"/>
      <c r="R9" s="32"/>
    </row>
    <row r="10" spans="1:18">
      <c r="A10" s="6" t="s">
        <v>41</v>
      </c>
      <c r="B10" s="37">
        <f t="shared" si="0"/>
        <v>4380.3540000000003</v>
      </c>
      <c r="C10" s="33"/>
      <c r="D10" s="37">
        <f>IF( ISERROR(IND_voed_gas_kWh/1000),0,IND_voed_gas_kWh/1000)*0.902</f>
        <v>9876.3227200000001</v>
      </c>
      <c r="E10" s="33">
        <f>C32*'E Balans VL '!I20/100/3.6*1000000</f>
        <v>9.2667068051931842</v>
      </c>
      <c r="F10" s="33">
        <f>C32*'E Balans VL '!L20/100/3.6*1000000+C32*'E Balans VL '!N20/100/3.6*1000000</f>
        <v>278.50738172040116</v>
      </c>
      <c r="G10" s="34"/>
      <c r="H10" s="33"/>
      <c r="I10" s="33"/>
      <c r="J10" s="40">
        <f>C32*'E Balans VL '!D20/100/3.6*1000000+C32*'E Balans VL '!E20/100/3.6*1000000</f>
        <v>0</v>
      </c>
      <c r="K10" s="33"/>
      <c r="L10" s="33"/>
      <c r="M10" s="33"/>
      <c r="N10" s="33">
        <f>C32*'E Balans VL '!Y20/100/3.6*1000000</f>
        <v>302.2876523894908</v>
      </c>
      <c r="O10" s="33"/>
      <c r="P10" s="33"/>
      <c r="R10" s="32"/>
    </row>
    <row r="11" spans="1:18">
      <c r="A11" s="6" t="s">
        <v>40</v>
      </c>
      <c r="B11" s="37">
        <f t="shared" si="0"/>
        <v>16158.657999999999</v>
      </c>
      <c r="C11" s="33"/>
      <c r="D11" s="37">
        <f>IF( ISERROR(IND_textiel_gas_kWh/1000),0,IND_textiel_gas_kWh/1000)*0.902</f>
        <v>47079.012354000006</v>
      </c>
      <c r="E11" s="33">
        <f>C33*'E Balans VL '!I21/100/3.6*1000000</f>
        <v>47.989821115858796</v>
      </c>
      <c r="F11" s="33">
        <f>C33*'E Balans VL '!L21/100/3.6*1000000+C33*'E Balans VL '!N21/100/3.6*1000000</f>
        <v>1632.4680796810405</v>
      </c>
      <c r="G11" s="34"/>
      <c r="H11" s="33"/>
      <c r="I11" s="33"/>
      <c r="J11" s="40">
        <f>C33*'E Balans VL '!D21/100/3.6*1000000+C33*'E Balans VL '!E21/100/3.6*1000000</f>
        <v>0</v>
      </c>
      <c r="K11" s="33"/>
      <c r="L11" s="33"/>
      <c r="M11" s="33"/>
      <c r="N11" s="33">
        <f>C33*'E Balans VL '!Y21/100/3.6*1000000</f>
        <v>891.20155670190331</v>
      </c>
      <c r="O11" s="33"/>
      <c r="P11" s="33"/>
      <c r="R11" s="32"/>
    </row>
    <row r="12" spans="1:18">
      <c r="A12" s="6" t="s">
        <v>37</v>
      </c>
      <c r="B12" s="37">
        <f t="shared" si="0"/>
        <v>3456.1329999999998</v>
      </c>
      <c r="C12" s="33"/>
      <c r="D12" s="37">
        <f>IF( ISERROR(IND_min_gas_kWh/1000),0,IND_min_gas_kWh/1000)*0.902</f>
        <v>118.57782200000001</v>
      </c>
      <c r="E12" s="33">
        <f>C34*'E Balans VL '!I22/100/3.6*1000000</f>
        <v>100.1790644751138</v>
      </c>
      <c r="F12" s="33">
        <f>C34*'E Balans VL '!L22/100/3.6*1000000+C34*'E Balans VL '!N22/100/3.6*1000000</f>
        <v>1188.2575805733263</v>
      </c>
      <c r="G12" s="34"/>
      <c r="H12" s="33"/>
      <c r="I12" s="33"/>
      <c r="J12" s="40">
        <f>C34*'E Balans VL '!D22/100/3.6*1000000+C34*'E Balans VL '!E22/100/3.6*1000000</f>
        <v>5.6794680091443563</v>
      </c>
      <c r="K12" s="33"/>
      <c r="L12" s="33"/>
      <c r="M12" s="33"/>
      <c r="N12" s="33">
        <f>C34*'E Balans VL '!Y22/100/3.6*1000000</f>
        <v>756.60430934030728</v>
      </c>
      <c r="O12" s="33"/>
      <c r="P12" s="33"/>
      <c r="R12" s="32"/>
    </row>
    <row r="13" spans="1:18">
      <c r="A13" s="6" t="s">
        <v>39</v>
      </c>
      <c r="B13" s="37">
        <f t="shared" si="0"/>
        <v>3829.7669999999998</v>
      </c>
      <c r="C13" s="33"/>
      <c r="D13" s="37">
        <f>IF( ISERROR(IND_papier_gas_kWh/1000),0,IND_papier_gas_kWh/1000)*0.902</f>
        <v>5750.1579959999999</v>
      </c>
      <c r="E13" s="33">
        <f>C35*'E Balans VL '!I23/100/3.6*1000000</f>
        <v>5.4335635120863914</v>
      </c>
      <c r="F13" s="33">
        <f>C35*'E Balans VL '!L23/100/3.6*1000000+C35*'E Balans VL '!N23/100/3.6*1000000</f>
        <v>93.499013322406469</v>
      </c>
      <c r="G13" s="34"/>
      <c r="H13" s="33"/>
      <c r="I13" s="33"/>
      <c r="J13" s="40">
        <f>C35*'E Balans VL '!D23/100/3.6*1000000+C35*'E Balans VL '!E23/100/3.6*1000000</f>
        <v>0.5923094225936657</v>
      </c>
      <c r="K13" s="33"/>
      <c r="L13" s="33"/>
      <c r="M13" s="33"/>
      <c r="N13" s="33">
        <f>C35*'E Balans VL '!Y23/100/3.6*1000000</f>
        <v>11132.226100882057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48631.482750000003</v>
      </c>
      <c r="C18" s="21">
        <f>C5+C16</f>
        <v>0</v>
      </c>
      <c r="D18" s="21">
        <f>MAX((D5+D16),0)</f>
        <v>72144.134135700006</v>
      </c>
      <c r="E18" s="21">
        <f>MAX((E5+E16),0)</f>
        <v>4849.1924684936384</v>
      </c>
      <c r="F18" s="21">
        <f>MAX((F5+F16),0)</f>
        <v>16422.954845072189</v>
      </c>
      <c r="G18" s="21"/>
      <c r="H18" s="21"/>
      <c r="I18" s="21"/>
      <c r="J18" s="21">
        <f>MAX((J5+J16),0)</f>
        <v>26.71879784468014</v>
      </c>
      <c r="K18" s="21"/>
      <c r="L18" s="21">
        <f>MAX((L5+L16),0)</f>
        <v>0</v>
      </c>
      <c r="M18" s="21"/>
      <c r="N18" s="21">
        <f>MAX((N5+N16),0)</f>
        <v>18397.457240783358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0.1916634320145815</v>
      </c>
      <c r="C20" s="25">
        <f ca="1">'EF ele_warmte'!B22</f>
        <v>0.21027916892684595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9320.8768878229184</v>
      </c>
      <c r="C22" s="23">
        <f ca="1">C18*C20</f>
        <v>0</v>
      </c>
      <c r="D22" s="23">
        <f>D18*D20</f>
        <v>14573.115095411402</v>
      </c>
      <c r="E22" s="23">
        <f>E18*E20</f>
        <v>1100.766690348056</v>
      </c>
      <c r="F22" s="23">
        <f>F18*F20</f>
        <v>4384.9289436342742</v>
      </c>
      <c r="G22" s="23"/>
      <c r="H22" s="23"/>
      <c r="I22" s="23"/>
      <c r="J22" s="23">
        <f>J18*J20</f>
        <v>9.4584544370167691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71.415999999999997</v>
      </c>
      <c r="C29" s="39">
        <f>IF(ISERROR(B29*3.6/1000000/'E Balans VL '!Z17*100),0,B29*3.6/1000000/'E Balans VL '!Z17*100)</f>
        <v>4.6295140557604787E-2</v>
      </c>
      <c r="D29" s="237" t="s">
        <v>754</v>
      </c>
    </row>
    <row r="30" spans="1:18">
      <c r="A30" s="171" t="s">
        <v>36</v>
      </c>
      <c r="B30" s="37">
        <f>IF( ISERROR(IND_metaal_ele_kWh/1000),0,IND_metaal_ele_kWh/1000)</f>
        <v>4858.7209999999995</v>
      </c>
      <c r="C30" s="39">
        <f>IF(ISERROR(B30*3.6/1000000/'E Balans VL '!Z18*100),0,B30*3.6/1000000/'E Balans VL '!Z18*100)</f>
        <v>0.27535617764549514</v>
      </c>
      <c r="D30" s="237" t="s">
        <v>754</v>
      </c>
    </row>
    <row r="31" spans="1:18">
      <c r="A31" s="6" t="s">
        <v>33</v>
      </c>
      <c r="B31" s="37">
        <f>IF( ISERROR(IND_ander_ele_kWh/1000),0,IND_ander_ele_kWh/1000)</f>
        <v>15876.43375</v>
      </c>
      <c r="C31" s="39">
        <f>IF(ISERROR(B31*3.6/1000000/'E Balans VL '!Z19*100),0,B31*3.6/1000000/'E Balans VL '!Z19*100)</f>
        <v>0.72008892658046009</v>
      </c>
      <c r="D31" s="237" t="s">
        <v>754</v>
      </c>
    </row>
    <row r="32" spans="1:18">
      <c r="A32" s="171" t="s">
        <v>41</v>
      </c>
      <c r="B32" s="37">
        <f>IF( ISERROR(IND_voed_ele_kWh/1000),0,IND_voed_ele_kWh/1000)</f>
        <v>4380.3540000000003</v>
      </c>
      <c r="C32" s="39">
        <f>IF(ISERROR(B32*3.6/1000000/'E Balans VL '!Z20*100),0,B32*3.6/1000000/'E Balans VL '!Z20*100)</f>
        <v>0.1355042343481494</v>
      </c>
      <c r="D32" s="237" t="s">
        <v>754</v>
      </c>
    </row>
    <row r="33" spans="1:5">
      <c r="A33" s="171" t="s">
        <v>40</v>
      </c>
      <c r="B33" s="37">
        <f>IF( ISERROR(IND_textiel_ele_kWh/1000),0,IND_textiel_ele_kWh/1000)</f>
        <v>16158.657999999999</v>
      </c>
      <c r="C33" s="39">
        <f>IF(ISERROR(B33*3.6/1000000/'E Balans VL '!Z21*100),0,B33*3.6/1000000/'E Balans VL '!Z21*100)</f>
        <v>2.1069093905704306</v>
      </c>
      <c r="D33" s="237" t="s">
        <v>754</v>
      </c>
    </row>
    <row r="34" spans="1:5">
      <c r="A34" s="171" t="s">
        <v>37</v>
      </c>
      <c r="B34" s="37">
        <f>IF( ISERROR(IND_min_ele_kWh/1000),0,IND_min_ele_kWh/1000)</f>
        <v>3456.1329999999998</v>
      </c>
      <c r="C34" s="39">
        <f>IF(ISERROR(B34*3.6/1000000/'E Balans VL '!Z22*100),0,B34*3.6/1000000/'E Balans VL '!Z22*100)</f>
        <v>0.62165049659227023</v>
      </c>
      <c r="D34" s="237" t="s">
        <v>754</v>
      </c>
    </row>
    <row r="35" spans="1:5">
      <c r="A35" s="171" t="s">
        <v>39</v>
      </c>
      <c r="B35" s="37">
        <f>IF( ISERROR(IND_papier_ele_kWh/1000),0,IND_papier_ele_kWh/1000)</f>
        <v>3829.7669999999998</v>
      </c>
      <c r="C35" s="39">
        <f>IF(ISERROR(B35*3.6/1000000/'E Balans VL '!Z22*100),0,B35*3.6/1000000/'E Balans VL '!Z22*100)</f>
        <v>0.68885559594572576</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13276.903</v>
      </c>
      <c r="C5" s="17">
        <f>'Eigen informatie GS &amp; warmtenet'!B60</f>
        <v>0</v>
      </c>
      <c r="D5" s="30">
        <f>IF(ISERROR(SUM(LB_lb_gas_kWh,LB_rest_gas_kWh,onbekend_gas_kWh)/1000),0,SUM(LB_lb_gas_kWh,LB_rest_gas_kWh,onbekend_gas_kWh)/1000)*0.902</f>
        <v>37562.237658000005</v>
      </c>
      <c r="E5" s="17">
        <f>B17*'E Balans VL '!I25/3.6*1000000/100</f>
        <v>390.24873151237421</v>
      </c>
      <c r="F5" s="17">
        <f>B17*('E Balans VL '!L25/3.6*1000000+'E Balans VL '!N25/3.6*1000000)/100</f>
        <v>55310.860451818968</v>
      </c>
      <c r="G5" s="18"/>
      <c r="H5" s="17"/>
      <c r="I5" s="17"/>
      <c r="J5" s="17">
        <f>('E Balans VL '!D25+'E Balans VL '!E25)/3.6*1000000*landbouw!B17/100</f>
        <v>1923.5381199442843</v>
      </c>
      <c r="K5" s="17"/>
      <c r="L5" s="17">
        <f>L6*(-1)</f>
        <v>0</v>
      </c>
      <c r="M5" s="17"/>
      <c r="N5" s="17">
        <f>N6*(-1)</f>
        <v>6904.2857142857147</v>
      </c>
      <c r="O5" s="17"/>
      <c r="P5" s="17"/>
      <c r="R5" s="32"/>
    </row>
    <row r="6" spans="1:18">
      <c r="A6" s="16" t="s">
        <v>488</v>
      </c>
      <c r="B6" s="17" t="s">
        <v>211</v>
      </c>
      <c r="C6" s="17">
        <f>'lokale energieproductie'!O91+'lokale energieproductie'!O60</f>
        <v>29976.428571428572</v>
      </c>
      <c r="D6" s="310">
        <f>('lokale energieproductie'!P60+'lokale energieproductie'!P91)*(-1)</f>
        <v>-53048.571428571435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-6904.2857142857147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13276.903</v>
      </c>
      <c r="C8" s="21">
        <f>C5+C6</f>
        <v>29976.428571428572</v>
      </c>
      <c r="D8" s="21">
        <f>MAX((D5+D6),0)</f>
        <v>0</v>
      </c>
      <c r="E8" s="21">
        <f>MAX((E5+E6),0)</f>
        <v>390.24873151237421</v>
      </c>
      <c r="F8" s="21">
        <f>MAX((F5+F6),0)</f>
        <v>55310.860451818968</v>
      </c>
      <c r="G8" s="21"/>
      <c r="H8" s="21"/>
      <c r="I8" s="21"/>
      <c r="J8" s="21">
        <f>MAX((J5+J6),0)</f>
        <v>1923.5381199442843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0.1916634320145815</v>
      </c>
      <c r="C10" s="31">
        <f ca="1">'EF ele_warmte'!B22</f>
        <v>0.21027916892684595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2544.696795504693</v>
      </c>
      <c r="C12" s="23">
        <f ca="1">C8*C10</f>
        <v>6303.4184873949598</v>
      </c>
      <c r="D12" s="23">
        <f>D8*D10</f>
        <v>0</v>
      </c>
      <c r="E12" s="23">
        <f>E8*E10</f>
        <v>88.586462053308949</v>
      </c>
      <c r="F12" s="23">
        <f>F8*F10</f>
        <v>14767.999740635665</v>
      </c>
      <c r="G12" s="23"/>
      <c r="H12" s="23"/>
      <c r="I12" s="23"/>
      <c r="J12" s="23">
        <f>J8*J10</f>
        <v>680.93249446027664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1.8840341907128144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193.04496622892685</v>
      </c>
      <c r="C26" s="247">
        <f>B26*'GWP N2O_CH4'!B5</f>
        <v>4053.9442908074639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69.640529590626798</v>
      </c>
      <c r="C27" s="247">
        <f>B27*'GWP N2O_CH4'!B5</f>
        <v>1462.4511214031627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2.7558215974664404</v>
      </c>
      <c r="C28" s="247">
        <f>B28*'GWP N2O_CH4'!B4</f>
        <v>854.30469521459656</v>
      </c>
      <c r="D28" s="50"/>
    </row>
    <row r="29" spans="1:4">
      <c r="A29" s="41" t="s">
        <v>277</v>
      </c>
      <c r="B29" s="247">
        <f>B34*'ha_N2O bodem landbouw'!B4</f>
        <v>7.3929108246896744</v>
      </c>
      <c r="C29" s="247">
        <f>B29*'GWP N2O_CH4'!B4</f>
        <v>2291.8023556537992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1.6870367730900798E-3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2.3869374750789049E-4</v>
      </c>
      <c r="C5" s="463" t="s">
        <v>211</v>
      </c>
      <c r="D5" s="448">
        <f>SUM(D6:D11)</f>
        <v>8.4763917161975776E-4</v>
      </c>
      <c r="E5" s="448">
        <f>SUM(E6:E11)</f>
        <v>1.245171537596154E-3</v>
      </c>
      <c r="F5" s="461" t="s">
        <v>211</v>
      </c>
      <c r="G5" s="448">
        <f>SUM(G6:G11)</f>
        <v>0.56906206576613505</v>
      </c>
      <c r="H5" s="448">
        <f>SUM(H6:H11)</f>
        <v>9.7235644705412086E-2</v>
      </c>
      <c r="I5" s="463" t="s">
        <v>211</v>
      </c>
      <c r="J5" s="463" t="s">
        <v>211</v>
      </c>
      <c r="K5" s="463" t="s">
        <v>211</v>
      </c>
      <c r="L5" s="463" t="s">
        <v>211</v>
      </c>
      <c r="M5" s="448">
        <f>SUM(M6:M11)</f>
        <v>3.6133953015571409E-2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8.0196697281707203E-5</v>
      </c>
      <c r="C6" s="449"/>
      <c r="D6" s="962">
        <f>vkm_2011_GW_PW*SUMIFS(TableVerdeelsleutelVkm[CNG],TableVerdeelsleutelVkm[Voertuigtype],"Lichte voertuigen")*SUMIFS(TableECFTransport[EnergieConsumptieFactor (PJ per km)],TableECFTransport[Index],CONCATENATE($A6,"_CNG_CNG"))</f>
        <v>2.4054406312769947E-4</v>
      </c>
      <c r="E6" s="962">
        <f>vkm_2011_GW_PW*SUMIFS(TableVerdeelsleutelVkm[LPG],TableVerdeelsleutelVkm[Voertuigtype],"Lichte voertuigen")*SUMIFS(TableECFTransport[EnergieConsumptieFactor (PJ per km)],TableECFTransport[Index],CONCATENATE($A6,"_LPG_LPG"))</f>
        <v>3.2861774268428307E-4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8.496548418669482E-2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2.7354334069312026E-2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5.7759409904137617E-3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7.0599341638173455E-2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2.1513481243541486E-5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4.1255911001779853E-3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5.0014526141728017E-5</v>
      </c>
      <c r="C8" s="449"/>
      <c r="D8" s="451">
        <f>vkm_2011_NGW_PW*SUMIFS(TableVerdeelsleutelVkm[CNG],TableVerdeelsleutelVkm[Voertuigtype],"Lichte voertuigen")*SUMIFS(TableECFTransport[EnergieConsumptieFactor (PJ per km)],TableECFTransport[Index],CONCATENATE($A8,"_CNG_CNG"))</f>
        <v>2.6672812417806956E-4</v>
      </c>
      <c r="E8" s="451">
        <f>vkm_2011_NGW_PW*SUMIFS(TableVerdeelsleutelVkm[LPG],TableVerdeelsleutelVkm[Voertuigtype],"Lichte voertuigen")*SUMIFS(TableECFTransport[EnergieConsumptieFactor (PJ per km)],TableECFTransport[Index],CONCATENATE($A8,"_LPG_LPG"))</f>
        <v>3.3746549892996869E-4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8.1310664865842097E-2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2.9476010703947453E-2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5.6253490884443915E-3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3.1635473104500149E-2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9.0753801653860864E-6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1.8486552454041836E-3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1.0848252408445526E-4</v>
      </c>
      <c r="C10" s="449"/>
      <c r="D10" s="451">
        <f>vkm_2011_SW_PW*SUMIFS(TableVerdeelsleutelVkm[CNG],TableVerdeelsleutelVkm[Voertuigtype],"Lichte voertuigen")*SUMIFS(TableECFTransport[EnergieConsumptieFactor (PJ per km)],TableECFTransport[Index],CONCATENATE($A10,"_CNG_CNG"))</f>
        <v>3.4036698431398876E-4</v>
      </c>
      <c r="E10" s="451">
        <f>vkm_2011_SW_PW*SUMIFS(TableVerdeelsleutelVkm[LPG],TableVerdeelsleutelVkm[Voertuigtype],"Lichte voertuigen")*SUMIFS(TableECFTransport[EnergieConsumptieFactor (PJ per km)],TableECFTransport[Index],CONCATENATE($A10,"_LPG_LPG"))</f>
        <v>5.7908829598190225E-4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0.1334811642627835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4.0319733204693398E-2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8.9952835111955891E-3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0.16706993770814105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5.4977866050286816E-5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9.7631330799354942E-3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66.303818752191802</v>
      </c>
      <c r="C14" s="21"/>
      <c r="D14" s="21">
        <f t="shared" ref="D14:M14" si="0">((D5)*10^9/3600)+D12</f>
        <v>235.45532544993273</v>
      </c>
      <c r="E14" s="21">
        <f t="shared" si="0"/>
        <v>345.88098266559837</v>
      </c>
      <c r="F14" s="21"/>
      <c r="G14" s="21">
        <f t="shared" si="0"/>
        <v>158072.79604614864</v>
      </c>
      <c r="H14" s="21">
        <f t="shared" si="0"/>
        <v>27009.901307058914</v>
      </c>
      <c r="I14" s="21"/>
      <c r="J14" s="21"/>
      <c r="K14" s="21"/>
      <c r="L14" s="21"/>
      <c r="M14" s="21">
        <f t="shared" si="0"/>
        <v>10037.209170992057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0.1916634320145815</v>
      </c>
      <c r="C16" s="56">
        <f ca="1">'EF ele_warmte'!B22</f>
        <v>0.21027916892684595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12.708017457717848</v>
      </c>
      <c r="C18" s="23"/>
      <c r="D18" s="23">
        <f t="shared" ref="D18:M18" si="1">D14*D16</f>
        <v>47.561975740886417</v>
      </c>
      <c r="E18" s="23">
        <f t="shared" si="1"/>
        <v>78.514983065090831</v>
      </c>
      <c r="F18" s="23"/>
      <c r="G18" s="23">
        <f t="shared" si="1"/>
        <v>42205.436544321688</v>
      </c>
      <c r="H18" s="23">
        <f t="shared" si="1"/>
        <v>6725.4654254576699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4.9776241206746568E-3</v>
      </c>
      <c r="H50" s="321">
        <f t="shared" si="2"/>
        <v>0</v>
      </c>
      <c r="I50" s="321">
        <f t="shared" si="2"/>
        <v>0</v>
      </c>
      <c r="J50" s="321">
        <f t="shared" si="2"/>
        <v>0</v>
      </c>
      <c r="K50" s="321">
        <f t="shared" si="2"/>
        <v>0</v>
      </c>
      <c r="L50" s="321">
        <f t="shared" si="2"/>
        <v>0</v>
      </c>
      <c r="M50" s="321">
        <f t="shared" si="2"/>
        <v>2.8270707595242609E-4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4.9776241206746568E-3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2.8270707595242609E-4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1382.6733668540712</v>
      </c>
      <c r="H54" s="21">
        <f t="shared" si="3"/>
        <v>0</v>
      </c>
      <c r="I54" s="21">
        <f t="shared" si="3"/>
        <v>0</v>
      </c>
      <c r="J54" s="21">
        <f t="shared" si="3"/>
        <v>0</v>
      </c>
      <c r="K54" s="21">
        <f t="shared" si="3"/>
        <v>0</v>
      </c>
      <c r="L54" s="21">
        <f t="shared" si="3"/>
        <v>0</v>
      </c>
      <c r="M54" s="21">
        <f t="shared" si="3"/>
        <v>78.529743320118357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0.1916634320145815</v>
      </c>
      <c r="C56" s="56">
        <f ca="1">'EF ele_warmte'!B22</f>
        <v>0.21027916892684595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369.17378895003702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3444.7070931359958</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17246.860502135671</v>
      </c>
      <c r="C6" s="1204"/>
      <c r="D6" s="1189"/>
      <c r="E6" s="1189"/>
      <c r="F6" s="1207"/>
      <c r="G6" s="1210"/>
      <c r="H6" s="1201"/>
      <c r="I6" s="1189"/>
      <c r="J6" s="1189"/>
      <c r="K6" s="1189"/>
      <c r="L6" s="1193"/>
      <c r="M6" s="575"/>
      <c r="N6" s="1167"/>
      <c r="O6" s="1168"/>
      <c r="Q6" s="573"/>
      <c r="R6" s="1155"/>
      <c r="S6" s="1155"/>
    </row>
    <row r="7" spans="1:19" s="563" customFormat="1">
      <c r="A7" s="576" t="s">
        <v>252</v>
      </c>
      <c r="B7" s="577">
        <f>N57</f>
        <v>20983.5</v>
      </c>
      <c r="C7" s="578">
        <f>B100</f>
        <v>21843.529411764706</v>
      </c>
      <c r="D7" s="579"/>
      <c r="E7" s="579">
        <f>E100</f>
        <v>0</v>
      </c>
      <c r="F7" s="580"/>
      <c r="G7" s="581"/>
      <c r="H7" s="579">
        <f>I100</f>
        <v>0</v>
      </c>
      <c r="I7" s="579">
        <f>G100+F100</f>
        <v>0</v>
      </c>
      <c r="J7" s="579">
        <f>H100+D100+C100</f>
        <v>2842.9411764705883</v>
      </c>
      <c r="K7" s="579"/>
      <c r="L7" s="582"/>
      <c r="M7" s="583">
        <f>C7*$C$11+D7*$D$11+E7*$E$11+F7*$F$11+G7*$G$11+H7*$H$11+I7*$I$11+J7*$J$11</f>
        <v>4412.3929411764711</v>
      </c>
      <c r="N7" s="1167"/>
      <c r="O7" s="1168"/>
      <c r="Q7" s="573"/>
      <c r="R7" s="1155"/>
      <c r="S7" s="1155"/>
    </row>
    <row r="8" spans="1:19" s="563" customFormat="1" ht="17.45" customHeight="1" thickBot="1">
      <c r="A8" s="584" t="s">
        <v>248</v>
      </c>
      <c r="B8" s="585">
        <f>N88+'Eigen informatie GS &amp; warmtenet'!B12</f>
        <v>1341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43016.06759527167</v>
      </c>
      <c r="C9" s="594">
        <f t="shared" ref="C9:L9" si="0">SUM(C7:C8)</f>
        <v>21843.529411764706</v>
      </c>
      <c r="D9" s="594">
        <f t="shared" si="0"/>
        <v>0</v>
      </c>
      <c r="E9" s="594">
        <f t="shared" si="0"/>
        <v>0</v>
      </c>
      <c r="F9" s="594">
        <f t="shared" si="0"/>
        <v>0</v>
      </c>
      <c r="G9" s="594">
        <f t="shared" si="0"/>
        <v>0</v>
      </c>
      <c r="H9" s="594">
        <f t="shared" si="0"/>
        <v>0</v>
      </c>
      <c r="I9" s="594">
        <f t="shared" si="0"/>
        <v>0</v>
      </c>
      <c r="J9" s="594">
        <f t="shared" si="0"/>
        <v>6674.3697478991598</v>
      </c>
      <c r="K9" s="594">
        <f t="shared" si="0"/>
        <v>0</v>
      </c>
      <c r="L9" s="594">
        <f t="shared" si="0"/>
        <v>0</v>
      </c>
      <c r="M9" s="595">
        <f>SUM(M4:M8)</f>
        <v>4412.3929411764711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29976.428571428572</v>
      </c>
      <c r="C16" s="610">
        <f>B101</f>
        <v>31205.042016806728</v>
      </c>
      <c r="D16" s="611"/>
      <c r="E16" s="611">
        <f>E101</f>
        <v>0</v>
      </c>
      <c r="F16" s="612"/>
      <c r="G16" s="613"/>
      <c r="H16" s="610">
        <f>I101</f>
        <v>0</v>
      </c>
      <c r="I16" s="611">
        <f>G101+F101</f>
        <v>0</v>
      </c>
      <c r="J16" s="611">
        <f>H101+D101+C101</f>
        <v>4061.3445378151264</v>
      </c>
      <c r="K16" s="611"/>
      <c r="L16" s="614"/>
      <c r="M16" s="615">
        <f>C16*$C$21+E16*$E$21+H16*$H$21+I16*$I$21+J16*$J$21+D16*$D$21+F16*$F$21+G16*$G$21+K16*$K$21+L16*$L$21</f>
        <v>6303.4184873949598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29976.428571428572</v>
      </c>
      <c r="C19" s="593">
        <f>SUM(C16:C18)</f>
        <v>31205.042016806728</v>
      </c>
      <c r="D19" s="593">
        <f t="shared" ref="D19:M19" si="1">SUM(D16:D18)</f>
        <v>0</v>
      </c>
      <c r="E19" s="593">
        <f t="shared" si="1"/>
        <v>0</v>
      </c>
      <c r="F19" s="593">
        <f t="shared" si="1"/>
        <v>0</v>
      </c>
      <c r="G19" s="593">
        <f t="shared" si="1"/>
        <v>0</v>
      </c>
      <c r="H19" s="593">
        <f t="shared" si="1"/>
        <v>0</v>
      </c>
      <c r="I19" s="593">
        <f t="shared" si="1"/>
        <v>0</v>
      </c>
      <c r="J19" s="593">
        <f t="shared" si="1"/>
        <v>4061.3445378151264</v>
      </c>
      <c r="K19" s="593">
        <f t="shared" si="1"/>
        <v>0</v>
      </c>
      <c r="L19" s="593">
        <f t="shared" si="1"/>
        <v>0</v>
      </c>
      <c r="M19" s="620">
        <f t="shared" si="1"/>
        <v>6303.4184873949598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34013</v>
      </c>
      <c r="C27" s="851">
        <v>8531</v>
      </c>
      <c r="D27" s="672" t="s">
        <v>809</v>
      </c>
      <c r="E27" s="671" t="s">
        <v>810</v>
      </c>
      <c r="F27" s="671" t="s">
        <v>811</v>
      </c>
      <c r="G27" s="671" t="s">
        <v>812</v>
      </c>
      <c r="H27" s="671" t="s">
        <v>813</v>
      </c>
      <c r="I27" s="671" t="s">
        <v>810</v>
      </c>
      <c r="J27" s="850">
        <v>39652</v>
      </c>
      <c r="K27" s="850">
        <v>39652</v>
      </c>
      <c r="L27" s="671" t="s">
        <v>814</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38.25">
      <c r="A28" s="624"/>
      <c r="B28" s="851">
        <v>34013</v>
      </c>
      <c r="C28" s="851">
        <v>8531</v>
      </c>
      <c r="D28" s="672" t="s">
        <v>815</v>
      </c>
      <c r="E28" s="671" t="s">
        <v>816</v>
      </c>
      <c r="F28" s="671" t="s">
        <v>817</v>
      </c>
      <c r="G28" s="671" t="s">
        <v>812</v>
      </c>
      <c r="H28" s="671" t="s">
        <v>813</v>
      </c>
      <c r="I28" s="671" t="s">
        <v>818</v>
      </c>
      <c r="J28" s="850">
        <v>40345</v>
      </c>
      <c r="K28" s="850">
        <v>40345</v>
      </c>
      <c r="L28" s="671" t="s">
        <v>814</v>
      </c>
      <c r="M28" s="671">
        <v>2056</v>
      </c>
      <c r="N28" s="671">
        <v>9252</v>
      </c>
      <c r="O28" s="671">
        <v>13217.142857142857</v>
      </c>
      <c r="P28" s="671">
        <v>26434.285714285717</v>
      </c>
      <c r="Q28" s="671">
        <v>0</v>
      </c>
      <c r="R28" s="671">
        <v>0</v>
      </c>
      <c r="S28" s="671">
        <v>0</v>
      </c>
      <c r="T28" s="671">
        <v>0</v>
      </c>
      <c r="U28" s="671">
        <v>0</v>
      </c>
      <c r="V28" s="671">
        <v>0</v>
      </c>
      <c r="W28" s="671">
        <v>0</v>
      </c>
      <c r="X28" s="671">
        <v>10</v>
      </c>
      <c r="Y28" s="671" t="s">
        <v>112</v>
      </c>
      <c r="Z28" s="673" t="s">
        <v>112</v>
      </c>
    </row>
    <row r="29" spans="1:26" s="625" customFormat="1" ht="25.5">
      <c r="A29" s="624"/>
      <c r="B29" s="851">
        <v>34013</v>
      </c>
      <c r="C29" s="851">
        <v>8530</v>
      </c>
      <c r="D29" s="672" t="s">
        <v>819</v>
      </c>
      <c r="E29" s="671" t="s">
        <v>820</v>
      </c>
      <c r="F29" s="671" t="s">
        <v>821</v>
      </c>
      <c r="G29" s="671" t="s">
        <v>812</v>
      </c>
      <c r="H29" s="671" t="s">
        <v>813</v>
      </c>
      <c r="I29" s="671" t="s">
        <v>822</v>
      </c>
      <c r="J29" s="850">
        <v>39436</v>
      </c>
      <c r="K29" s="850">
        <v>40974</v>
      </c>
      <c r="L29" s="671" t="s">
        <v>814</v>
      </c>
      <c r="M29" s="671">
        <v>537</v>
      </c>
      <c r="N29" s="671">
        <v>2416.5</v>
      </c>
      <c r="O29" s="671">
        <v>3452.1428571428573</v>
      </c>
      <c r="P29" s="671">
        <v>0</v>
      </c>
      <c r="Q29" s="671">
        <v>6904.2857142857147</v>
      </c>
      <c r="R29" s="671">
        <v>0</v>
      </c>
      <c r="S29" s="671">
        <v>0</v>
      </c>
      <c r="T29" s="671">
        <v>0</v>
      </c>
      <c r="U29" s="671">
        <v>0</v>
      </c>
      <c r="V29" s="671">
        <v>0</v>
      </c>
      <c r="W29" s="671">
        <v>0</v>
      </c>
      <c r="X29" s="671">
        <v>10</v>
      </c>
      <c r="Y29" s="671" t="s">
        <v>112</v>
      </c>
      <c r="Z29" s="673" t="s">
        <v>112</v>
      </c>
    </row>
    <row r="30" spans="1:26" s="625" customFormat="1" ht="25.5">
      <c r="A30" s="624"/>
      <c r="B30" s="851">
        <v>34013</v>
      </c>
      <c r="C30" s="851">
        <v>8530</v>
      </c>
      <c r="D30" s="672" t="s">
        <v>823</v>
      </c>
      <c r="E30" s="671" t="s">
        <v>824</v>
      </c>
      <c r="F30" s="671" t="s">
        <v>825</v>
      </c>
      <c r="G30" s="671" t="s">
        <v>812</v>
      </c>
      <c r="H30" s="671" t="s">
        <v>813</v>
      </c>
      <c r="I30" s="671" t="s">
        <v>826</v>
      </c>
      <c r="J30" s="850">
        <v>41253</v>
      </c>
      <c r="K30" s="850">
        <v>41037</v>
      </c>
      <c r="L30" s="671" t="s">
        <v>814</v>
      </c>
      <c r="M30" s="671">
        <v>70</v>
      </c>
      <c r="N30" s="671">
        <v>315.00000000000006</v>
      </c>
      <c r="O30" s="671">
        <v>450.00000000000011</v>
      </c>
      <c r="P30" s="671">
        <v>900.00000000000023</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4663</v>
      </c>
      <c r="N57" s="629">
        <f>SUM(N27:N56)</f>
        <v>20983.5</v>
      </c>
      <c r="O57" s="629">
        <f t="shared" ref="O57:W57" si="2">SUM(O27:O56)</f>
        <v>29976.428571428572</v>
      </c>
      <c r="P57" s="629">
        <f t="shared" si="2"/>
        <v>53048.571428571435</v>
      </c>
      <c r="Q57" s="629">
        <f t="shared" si="2"/>
        <v>6904.2857142857147</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4663</v>
      </c>
      <c r="N60" s="634">
        <f t="shared" ref="N60:W60" si="4">SUMIF($Z$27:$Z$56,"landbouw",N27:N56)</f>
        <v>20983.5</v>
      </c>
      <c r="O60" s="634">
        <f t="shared" si="4"/>
        <v>29976.428571428572</v>
      </c>
      <c r="P60" s="634">
        <f t="shared" si="4"/>
        <v>53048.571428571435</v>
      </c>
      <c r="Q60" s="634">
        <f t="shared" si="4"/>
        <v>6904.2857142857147</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34013</v>
      </c>
      <c r="C63" s="851">
        <v>8530</v>
      </c>
      <c r="D63" s="674" t="s">
        <v>827</v>
      </c>
      <c r="E63" s="674" t="s">
        <v>828</v>
      </c>
      <c r="F63" s="674" t="s">
        <v>829</v>
      </c>
      <c r="G63" s="674" t="s">
        <v>830</v>
      </c>
      <c r="H63" s="674" t="s">
        <v>831</v>
      </c>
      <c r="I63" s="674" t="s">
        <v>832</v>
      </c>
      <c r="J63" s="850">
        <v>39156</v>
      </c>
      <c r="K63" s="850">
        <v>39173</v>
      </c>
      <c r="L63" s="674" t="s">
        <v>814</v>
      </c>
      <c r="M63" s="674">
        <v>298</v>
      </c>
      <c r="N63" s="674">
        <v>1341</v>
      </c>
      <c r="O63" s="674">
        <v>0</v>
      </c>
      <c r="P63" s="674">
        <v>0</v>
      </c>
      <c r="Q63" s="674">
        <v>3831.4285714285716</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298</v>
      </c>
      <c r="N88" s="629">
        <f t="shared" ref="N88:W88" si="5">SUM(N63:N87)</f>
        <v>1341</v>
      </c>
      <c r="O88" s="629">
        <f t="shared" si="5"/>
        <v>0</v>
      </c>
      <c r="P88" s="629">
        <f t="shared" si="5"/>
        <v>0</v>
      </c>
      <c r="Q88" s="629">
        <f t="shared" si="5"/>
        <v>3831.4285714285716</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298</v>
      </c>
      <c r="N90" s="629">
        <f t="shared" ref="N90:W90" si="7">SUMIF($Z$63:$Z$88,"tertiair",N63:N88)</f>
        <v>1341</v>
      </c>
      <c r="O90" s="629">
        <f t="shared" si="7"/>
        <v>0</v>
      </c>
      <c r="P90" s="629">
        <f t="shared" si="7"/>
        <v>0</v>
      </c>
      <c r="Q90" s="629">
        <f t="shared" si="7"/>
        <v>3831.4285714285716</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21843.529411764706</v>
      </c>
      <c r="C100" s="663">
        <f t="shared" si="9"/>
        <v>2842.9411764705883</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31205.042016806728</v>
      </c>
      <c r="C101" s="666">
        <f t="shared" ref="C101:H101" si="10">$B$97*Q57</f>
        <v>4061.3445378151264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69039.100149999984</v>
      </c>
      <c r="D10" s="718">
        <f ca="1">tertiair!C16</f>
        <v>0</v>
      </c>
      <c r="E10" s="718">
        <f ca="1">tertiair!D16</f>
        <v>95030.257174600003</v>
      </c>
      <c r="F10" s="718">
        <f>tertiair!E16</f>
        <v>1485.472857256929</v>
      </c>
      <c r="G10" s="718">
        <f ca="1">tertiair!F16</f>
        <v>12780.824214739332</v>
      </c>
      <c r="H10" s="718">
        <f>tertiair!G16</f>
        <v>0</v>
      </c>
      <c r="I10" s="718">
        <f>tertiair!H16</f>
        <v>0</v>
      </c>
      <c r="J10" s="718">
        <f>tertiair!I16</f>
        <v>0</v>
      </c>
      <c r="K10" s="718">
        <f>tertiair!J16</f>
        <v>0.27552760386733965</v>
      </c>
      <c r="L10" s="718">
        <f>tertiair!K16</f>
        <v>0</v>
      </c>
      <c r="M10" s="718">
        <f ca="1">tertiair!L16</f>
        <v>0</v>
      </c>
      <c r="N10" s="718">
        <f>tertiair!M16</f>
        <v>0</v>
      </c>
      <c r="O10" s="718">
        <f ca="1">tertiair!N16</f>
        <v>7027.8294254316434</v>
      </c>
      <c r="P10" s="718">
        <f>tertiair!O16</f>
        <v>4.6900000000000004</v>
      </c>
      <c r="Q10" s="719">
        <f>tertiair!P16</f>
        <v>133.46666666666667</v>
      </c>
      <c r="R10" s="721">
        <f ca="1">SUM(C10:Q10)</f>
        <v>185501.91601629843</v>
      </c>
      <c r="S10" s="67"/>
    </row>
    <row r="11" spans="1:19" s="474" customFormat="1">
      <c r="A11" s="870" t="s">
        <v>225</v>
      </c>
      <c r="B11" s="875"/>
      <c r="C11" s="718">
        <f>huishoudens!B8</f>
        <v>42631.539206927671</v>
      </c>
      <c r="D11" s="718">
        <f>huishoudens!C8</f>
        <v>0</v>
      </c>
      <c r="E11" s="718">
        <f>huishoudens!D8</f>
        <v>110925.02509768897</v>
      </c>
      <c r="F11" s="718">
        <f>huishoudens!E8</f>
        <v>6391.7305065940227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21782.670581040504</v>
      </c>
      <c r="P11" s="718">
        <f>huishoudens!O8</f>
        <v>522.15333333333331</v>
      </c>
      <c r="Q11" s="719">
        <f>huishoudens!P8</f>
        <v>858</v>
      </c>
      <c r="R11" s="721">
        <f>SUM(C11:Q11)</f>
        <v>183111.1187255845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48631.482750000003</v>
      </c>
      <c r="D13" s="718">
        <f>industrie!C18</f>
        <v>0</v>
      </c>
      <c r="E13" s="718">
        <f>industrie!D18</f>
        <v>72144.134135700006</v>
      </c>
      <c r="F13" s="718">
        <f>industrie!E18</f>
        <v>4849.1924684936384</v>
      </c>
      <c r="G13" s="718">
        <f>industrie!F18</f>
        <v>16422.954845072189</v>
      </c>
      <c r="H13" s="718">
        <f>industrie!G18</f>
        <v>0</v>
      </c>
      <c r="I13" s="718">
        <f>industrie!H18</f>
        <v>0</v>
      </c>
      <c r="J13" s="718">
        <f>industrie!I18</f>
        <v>0</v>
      </c>
      <c r="K13" s="718">
        <f>industrie!J18</f>
        <v>26.71879784468014</v>
      </c>
      <c r="L13" s="718">
        <f>industrie!K18</f>
        <v>0</v>
      </c>
      <c r="M13" s="718">
        <f>industrie!L18</f>
        <v>0</v>
      </c>
      <c r="N13" s="718">
        <f>industrie!M18</f>
        <v>0</v>
      </c>
      <c r="O13" s="718">
        <f>industrie!N18</f>
        <v>18397.457240783358</v>
      </c>
      <c r="P13" s="718">
        <f>industrie!O18</f>
        <v>0</v>
      </c>
      <c r="Q13" s="719">
        <f>industrie!P18</f>
        <v>0</v>
      </c>
      <c r="R13" s="721">
        <f>SUM(C13:Q13)</f>
        <v>160471.94023789387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160302.12210692765</v>
      </c>
      <c r="D15" s="723">
        <f t="shared" ref="D15:Q15" ca="1" si="0">SUM(D9:D14)</f>
        <v>0</v>
      </c>
      <c r="E15" s="723">
        <f t="shared" ca="1" si="0"/>
        <v>278099.41640798899</v>
      </c>
      <c r="F15" s="723">
        <f t="shared" si="0"/>
        <v>12726.395832344591</v>
      </c>
      <c r="G15" s="723">
        <f t="shared" ca="1" si="0"/>
        <v>29203.779059811521</v>
      </c>
      <c r="H15" s="723">
        <f t="shared" si="0"/>
        <v>0</v>
      </c>
      <c r="I15" s="723">
        <f t="shared" si="0"/>
        <v>0</v>
      </c>
      <c r="J15" s="723">
        <f t="shared" si="0"/>
        <v>0</v>
      </c>
      <c r="K15" s="723">
        <f t="shared" si="0"/>
        <v>26.994325448547478</v>
      </c>
      <c r="L15" s="723">
        <f t="shared" si="0"/>
        <v>0</v>
      </c>
      <c r="M15" s="723">
        <f t="shared" ca="1" si="0"/>
        <v>0</v>
      </c>
      <c r="N15" s="723">
        <f t="shared" si="0"/>
        <v>0</v>
      </c>
      <c r="O15" s="723">
        <f t="shared" ca="1" si="0"/>
        <v>47207.957247255501</v>
      </c>
      <c r="P15" s="723">
        <f t="shared" si="0"/>
        <v>526.84333333333336</v>
      </c>
      <c r="Q15" s="724">
        <f t="shared" si="0"/>
        <v>991.4666666666667</v>
      </c>
      <c r="R15" s="725">
        <f ca="1">SUM(R9:R14)</f>
        <v>529084.97497977677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1382.6733668540712</v>
      </c>
      <c r="I18" s="718">
        <f>transport!H54</f>
        <v>0</v>
      </c>
      <c r="J18" s="718">
        <f>transport!I54</f>
        <v>0</v>
      </c>
      <c r="K18" s="718">
        <f>transport!J54</f>
        <v>0</v>
      </c>
      <c r="L18" s="718">
        <f>transport!K54</f>
        <v>0</v>
      </c>
      <c r="M18" s="718">
        <f>transport!L54</f>
        <v>0</v>
      </c>
      <c r="N18" s="718">
        <f>transport!M54</f>
        <v>78.529743320118357</v>
      </c>
      <c r="O18" s="718">
        <f>transport!N54</f>
        <v>0</v>
      </c>
      <c r="P18" s="718">
        <f>transport!O54</f>
        <v>0</v>
      </c>
      <c r="Q18" s="719">
        <f>transport!P54</f>
        <v>0</v>
      </c>
      <c r="R18" s="721">
        <f>SUM(C18:Q18)</f>
        <v>1461.2031101741895</v>
      </c>
      <c r="S18" s="67"/>
    </row>
    <row r="19" spans="1:19" s="474" customFormat="1" ht="15" thickBot="1">
      <c r="A19" s="870" t="s">
        <v>307</v>
      </c>
      <c r="B19" s="875"/>
      <c r="C19" s="727">
        <f>transport!B14</f>
        <v>66.303818752191802</v>
      </c>
      <c r="D19" s="727">
        <f>transport!C14</f>
        <v>0</v>
      </c>
      <c r="E19" s="727">
        <f>transport!D14</f>
        <v>235.45532544993273</v>
      </c>
      <c r="F19" s="727">
        <f>transport!E14</f>
        <v>345.88098266559837</v>
      </c>
      <c r="G19" s="727">
        <f>transport!F14</f>
        <v>0</v>
      </c>
      <c r="H19" s="727">
        <f>transport!G14</f>
        <v>158072.79604614864</v>
      </c>
      <c r="I19" s="727">
        <f>transport!H14</f>
        <v>27009.901307058914</v>
      </c>
      <c r="J19" s="727">
        <f>transport!I14</f>
        <v>0</v>
      </c>
      <c r="K19" s="727">
        <f>transport!J14</f>
        <v>0</v>
      </c>
      <c r="L19" s="727">
        <f>transport!K14</f>
        <v>0</v>
      </c>
      <c r="M19" s="727">
        <f>transport!L14</f>
        <v>0</v>
      </c>
      <c r="N19" s="727">
        <f>transport!M14</f>
        <v>10037.209170992057</v>
      </c>
      <c r="O19" s="727">
        <f>transport!N14</f>
        <v>0</v>
      </c>
      <c r="P19" s="727">
        <f>transport!O14</f>
        <v>0</v>
      </c>
      <c r="Q19" s="728">
        <f>transport!P14</f>
        <v>0</v>
      </c>
      <c r="R19" s="729">
        <f>SUM(C19:Q19)</f>
        <v>195767.5466510673</v>
      </c>
      <c r="S19" s="67"/>
    </row>
    <row r="20" spans="1:19" s="474" customFormat="1" ht="15.75" thickBot="1">
      <c r="A20" s="730" t="s">
        <v>230</v>
      </c>
      <c r="B20" s="878"/>
      <c r="C20" s="873">
        <f>SUM(C17:C19)</f>
        <v>66.303818752191802</v>
      </c>
      <c r="D20" s="731">
        <f t="shared" ref="D20:R20" si="1">SUM(D17:D19)</f>
        <v>0</v>
      </c>
      <c r="E20" s="731">
        <f t="shared" si="1"/>
        <v>235.45532544993273</v>
      </c>
      <c r="F20" s="731">
        <f t="shared" si="1"/>
        <v>345.88098266559837</v>
      </c>
      <c r="G20" s="731">
        <f t="shared" si="1"/>
        <v>0</v>
      </c>
      <c r="H20" s="731">
        <f t="shared" si="1"/>
        <v>159455.46941300272</v>
      </c>
      <c r="I20" s="731">
        <f t="shared" si="1"/>
        <v>27009.901307058914</v>
      </c>
      <c r="J20" s="731">
        <f t="shared" si="1"/>
        <v>0</v>
      </c>
      <c r="K20" s="731">
        <f t="shared" si="1"/>
        <v>0</v>
      </c>
      <c r="L20" s="731">
        <f t="shared" si="1"/>
        <v>0</v>
      </c>
      <c r="M20" s="731">
        <f t="shared" si="1"/>
        <v>0</v>
      </c>
      <c r="N20" s="731">
        <f t="shared" si="1"/>
        <v>10115.738914312175</v>
      </c>
      <c r="O20" s="731">
        <f t="shared" si="1"/>
        <v>0</v>
      </c>
      <c r="P20" s="731">
        <f t="shared" si="1"/>
        <v>0</v>
      </c>
      <c r="Q20" s="732">
        <f t="shared" si="1"/>
        <v>0</v>
      </c>
      <c r="R20" s="733">
        <f t="shared" si="1"/>
        <v>197228.74976124149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13276.903</v>
      </c>
      <c r="D22" s="727">
        <f>+landbouw!C8</f>
        <v>29976.428571428572</v>
      </c>
      <c r="E22" s="727">
        <f>+landbouw!D8</f>
        <v>0</v>
      </c>
      <c r="F22" s="727">
        <f>+landbouw!E8</f>
        <v>390.24873151237421</v>
      </c>
      <c r="G22" s="727">
        <f>+landbouw!F8</f>
        <v>55310.860451818968</v>
      </c>
      <c r="H22" s="727">
        <f>+landbouw!G8</f>
        <v>0</v>
      </c>
      <c r="I22" s="727">
        <f>+landbouw!H8</f>
        <v>0</v>
      </c>
      <c r="J22" s="727">
        <f>+landbouw!I8</f>
        <v>0</v>
      </c>
      <c r="K22" s="727">
        <f>+landbouw!J8</f>
        <v>1923.5381199442843</v>
      </c>
      <c r="L22" s="727">
        <f>+landbouw!K8</f>
        <v>0</v>
      </c>
      <c r="M22" s="727">
        <f>+landbouw!L8</f>
        <v>0</v>
      </c>
      <c r="N22" s="727">
        <f>+landbouw!M8</f>
        <v>0</v>
      </c>
      <c r="O22" s="727">
        <f>+landbouw!N8</f>
        <v>0</v>
      </c>
      <c r="P22" s="727">
        <f>+landbouw!O8</f>
        <v>0</v>
      </c>
      <c r="Q22" s="728">
        <f>+landbouw!P8</f>
        <v>0</v>
      </c>
      <c r="R22" s="729">
        <f>SUM(C22:Q22)</f>
        <v>100877.97887470419</v>
      </c>
      <c r="S22" s="67"/>
    </row>
    <row r="23" spans="1:19" s="474" customFormat="1" ht="17.25" thickTop="1" thickBot="1">
      <c r="A23" s="734" t="s">
        <v>116</v>
      </c>
      <c r="B23" s="864"/>
      <c r="C23" s="735">
        <f ca="1">C20+C15+C22</f>
        <v>173645.32892567985</v>
      </c>
      <c r="D23" s="735">
        <f t="shared" ref="D23:Q23" ca="1" si="2">D20+D15+D22</f>
        <v>29976.428571428572</v>
      </c>
      <c r="E23" s="735">
        <f t="shared" ca="1" si="2"/>
        <v>278334.87173343892</v>
      </c>
      <c r="F23" s="735">
        <f t="shared" si="2"/>
        <v>13462.525546522564</v>
      </c>
      <c r="G23" s="735">
        <f t="shared" ca="1" si="2"/>
        <v>84514.639511630492</v>
      </c>
      <c r="H23" s="735">
        <f t="shared" si="2"/>
        <v>159455.46941300272</v>
      </c>
      <c r="I23" s="735">
        <f t="shared" si="2"/>
        <v>27009.901307058914</v>
      </c>
      <c r="J23" s="735">
        <f t="shared" si="2"/>
        <v>0</v>
      </c>
      <c r="K23" s="735">
        <f t="shared" si="2"/>
        <v>1950.5324453928317</v>
      </c>
      <c r="L23" s="735">
        <f t="shared" si="2"/>
        <v>0</v>
      </c>
      <c r="M23" s="735">
        <f t="shared" ca="1" si="2"/>
        <v>0</v>
      </c>
      <c r="N23" s="735">
        <f t="shared" si="2"/>
        <v>10115.738914312175</v>
      </c>
      <c r="O23" s="735">
        <f t="shared" ca="1" si="2"/>
        <v>47207.957247255501</v>
      </c>
      <c r="P23" s="735">
        <f t="shared" si="2"/>
        <v>526.84333333333336</v>
      </c>
      <c r="Q23" s="736">
        <f t="shared" si="2"/>
        <v>991.4666666666667</v>
      </c>
      <c r="R23" s="737">
        <f ca="1">R20+R15+R22</f>
        <v>827191.70361572248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13232.270877947405</v>
      </c>
      <c r="D36" s="718">
        <f ca="1">tertiair!C20</f>
        <v>0</v>
      </c>
      <c r="E36" s="718">
        <f ca="1">tertiair!D20</f>
        <v>19196.111949269201</v>
      </c>
      <c r="F36" s="718">
        <f>tertiair!E20</f>
        <v>337.20233859732292</v>
      </c>
      <c r="G36" s="718">
        <f ca="1">tertiair!F20</f>
        <v>3412.4800653354018</v>
      </c>
      <c r="H36" s="718">
        <f>tertiair!G20</f>
        <v>0</v>
      </c>
      <c r="I36" s="718">
        <f>tertiair!H20</f>
        <v>0</v>
      </c>
      <c r="J36" s="718">
        <f>tertiair!I20</f>
        <v>0</v>
      </c>
      <c r="K36" s="718">
        <f>tertiair!J20</f>
        <v>9.753677176903823E-2</v>
      </c>
      <c r="L36" s="718">
        <f>tertiair!K20</f>
        <v>0</v>
      </c>
      <c r="M36" s="718">
        <f ca="1">tertiair!L20</f>
        <v>0</v>
      </c>
      <c r="N36" s="718">
        <f>tertiair!M20</f>
        <v>0</v>
      </c>
      <c r="O36" s="718">
        <f ca="1">tertiair!N20</f>
        <v>0</v>
      </c>
      <c r="P36" s="718">
        <f>tertiair!O20</f>
        <v>0</v>
      </c>
      <c r="Q36" s="828">
        <f>tertiair!P20</f>
        <v>0</v>
      </c>
      <c r="R36" s="917">
        <f ca="1">SUM(C36:Q36)</f>
        <v>36178.162767921101</v>
      </c>
    </row>
    <row r="37" spans="1:18">
      <c r="A37" s="885" t="s">
        <v>225</v>
      </c>
      <c r="B37" s="892"/>
      <c r="C37" s="718">
        <f ca="1">huishoudens!B12</f>
        <v>8170.9071164639472</v>
      </c>
      <c r="D37" s="718">
        <f ca="1">huishoudens!C12</f>
        <v>0</v>
      </c>
      <c r="E37" s="718">
        <f>huishoudens!D12</f>
        <v>22406.855069733174</v>
      </c>
      <c r="F37" s="718">
        <f>huishoudens!E12</f>
        <v>1450.9228249968432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32028.685011193964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9320.8768878229184</v>
      </c>
      <c r="D39" s="718">
        <f ca="1">industrie!C22</f>
        <v>0</v>
      </c>
      <c r="E39" s="718">
        <f>industrie!D22</f>
        <v>14573.115095411402</v>
      </c>
      <c r="F39" s="718">
        <f>industrie!E22</f>
        <v>1100.766690348056</v>
      </c>
      <c r="G39" s="718">
        <f>industrie!F22</f>
        <v>4384.9289436342742</v>
      </c>
      <c r="H39" s="718">
        <f>industrie!G22</f>
        <v>0</v>
      </c>
      <c r="I39" s="718">
        <f>industrie!H22</f>
        <v>0</v>
      </c>
      <c r="J39" s="718">
        <f>industrie!I22</f>
        <v>0</v>
      </c>
      <c r="K39" s="718">
        <f>industrie!J22</f>
        <v>9.4584544370167691</v>
      </c>
      <c r="L39" s="718">
        <f>industrie!K22</f>
        <v>0</v>
      </c>
      <c r="M39" s="718">
        <f>industrie!L22</f>
        <v>0</v>
      </c>
      <c r="N39" s="718">
        <f>industrie!M22</f>
        <v>0</v>
      </c>
      <c r="O39" s="718">
        <f>industrie!N22</f>
        <v>0</v>
      </c>
      <c r="P39" s="718">
        <f>industrie!O22</f>
        <v>0</v>
      </c>
      <c r="Q39" s="828">
        <f>industrie!P22</f>
        <v>0</v>
      </c>
      <c r="R39" s="918">
        <f ca="1">SUM(C39:Q39)</f>
        <v>29389.146071653668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30724.054882234268</v>
      </c>
      <c r="D41" s="763">
        <f t="shared" ref="D41:R41" ca="1" si="4">SUM(D35:D40)</f>
        <v>0</v>
      </c>
      <c r="E41" s="763">
        <f t="shared" ca="1" si="4"/>
        <v>56176.082114413774</v>
      </c>
      <c r="F41" s="763">
        <f t="shared" si="4"/>
        <v>2888.891853942222</v>
      </c>
      <c r="G41" s="763">
        <f t="shared" ca="1" si="4"/>
        <v>7797.4090089696765</v>
      </c>
      <c r="H41" s="763">
        <f t="shared" si="4"/>
        <v>0</v>
      </c>
      <c r="I41" s="763">
        <f t="shared" si="4"/>
        <v>0</v>
      </c>
      <c r="J41" s="763">
        <f t="shared" si="4"/>
        <v>0</v>
      </c>
      <c r="K41" s="763">
        <f t="shared" si="4"/>
        <v>9.555991208785807</v>
      </c>
      <c r="L41" s="763">
        <f t="shared" si="4"/>
        <v>0</v>
      </c>
      <c r="M41" s="763">
        <f t="shared" ca="1" si="4"/>
        <v>0</v>
      </c>
      <c r="N41" s="763">
        <f t="shared" si="4"/>
        <v>0</v>
      </c>
      <c r="O41" s="763">
        <f t="shared" ca="1" si="4"/>
        <v>0</v>
      </c>
      <c r="P41" s="763">
        <f t="shared" si="4"/>
        <v>0</v>
      </c>
      <c r="Q41" s="764">
        <f t="shared" si="4"/>
        <v>0</v>
      </c>
      <c r="R41" s="765">
        <f t="shared" ca="1" si="4"/>
        <v>97595.993850768733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369.17378895003702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369.17378895003702</v>
      </c>
    </row>
    <row r="45" spans="1:18" ht="15" thickBot="1">
      <c r="A45" s="888" t="s">
        <v>307</v>
      </c>
      <c r="B45" s="898"/>
      <c r="C45" s="727">
        <f ca="1">transport!B18</f>
        <v>12.708017457717848</v>
      </c>
      <c r="D45" s="727">
        <f>transport!C18</f>
        <v>0</v>
      </c>
      <c r="E45" s="727">
        <f>transport!D18</f>
        <v>47.561975740886417</v>
      </c>
      <c r="F45" s="727">
        <f>transport!E18</f>
        <v>78.514983065090831</v>
      </c>
      <c r="G45" s="727">
        <f>transport!F18</f>
        <v>0</v>
      </c>
      <c r="H45" s="727">
        <f>transport!G18</f>
        <v>42205.436544321688</v>
      </c>
      <c r="I45" s="727">
        <f>transport!H18</f>
        <v>6725.4654254576699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49069.686946043053</v>
      </c>
    </row>
    <row r="46" spans="1:18" ht="15.75" thickBot="1">
      <c r="A46" s="886" t="s">
        <v>230</v>
      </c>
      <c r="B46" s="899"/>
      <c r="C46" s="763">
        <f t="shared" ref="C46:R46" ca="1" si="5">SUM(C43:C45)</f>
        <v>12.708017457717848</v>
      </c>
      <c r="D46" s="763">
        <f t="shared" ca="1" si="5"/>
        <v>0</v>
      </c>
      <c r="E46" s="763">
        <f t="shared" si="5"/>
        <v>47.561975740886417</v>
      </c>
      <c r="F46" s="763">
        <f t="shared" si="5"/>
        <v>78.514983065090831</v>
      </c>
      <c r="G46" s="763">
        <f t="shared" si="5"/>
        <v>0</v>
      </c>
      <c r="H46" s="763">
        <f t="shared" si="5"/>
        <v>42574.610333271725</v>
      </c>
      <c r="I46" s="763">
        <f t="shared" si="5"/>
        <v>6725.4654254576699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49438.86073499309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2544.696795504693</v>
      </c>
      <c r="D48" s="718">
        <f ca="1">+landbouw!C12</f>
        <v>6303.4184873949598</v>
      </c>
      <c r="E48" s="718">
        <f>+landbouw!D12</f>
        <v>0</v>
      </c>
      <c r="F48" s="718">
        <f>+landbouw!E12</f>
        <v>88.586462053308949</v>
      </c>
      <c r="G48" s="718">
        <f>+landbouw!F12</f>
        <v>14767.999740635665</v>
      </c>
      <c r="H48" s="718">
        <f>+landbouw!G12</f>
        <v>0</v>
      </c>
      <c r="I48" s="718">
        <f>+landbouw!H12</f>
        <v>0</v>
      </c>
      <c r="J48" s="718">
        <f>+landbouw!I12</f>
        <v>0</v>
      </c>
      <c r="K48" s="718">
        <f>+landbouw!J12</f>
        <v>680.93249446027664</v>
      </c>
      <c r="L48" s="718">
        <f>+landbouw!K12</f>
        <v>0</v>
      </c>
      <c r="M48" s="718">
        <f>+landbouw!L12</f>
        <v>0</v>
      </c>
      <c r="N48" s="718">
        <f>+landbouw!M12</f>
        <v>0</v>
      </c>
      <c r="O48" s="718">
        <f>+landbouw!N12</f>
        <v>0</v>
      </c>
      <c r="P48" s="718">
        <f>+landbouw!O12</f>
        <v>0</v>
      </c>
      <c r="Q48" s="719">
        <f>+landbouw!P12</f>
        <v>0</v>
      </c>
      <c r="R48" s="761">
        <f ca="1">SUM(C48:Q48)</f>
        <v>24385.633980048904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33281.459695196681</v>
      </c>
      <c r="D53" s="773">
        <f t="shared" ref="D53:Q53" ca="1" si="6">D41+D46+D48</f>
        <v>6303.4184873949598</v>
      </c>
      <c r="E53" s="773">
        <f t="shared" ca="1" si="6"/>
        <v>56223.644090154659</v>
      </c>
      <c r="F53" s="773">
        <f t="shared" si="6"/>
        <v>3055.9932990606217</v>
      </c>
      <c r="G53" s="773">
        <f t="shared" ca="1" si="6"/>
        <v>22565.40874960534</v>
      </c>
      <c r="H53" s="773">
        <f t="shared" si="6"/>
        <v>42574.610333271725</v>
      </c>
      <c r="I53" s="773">
        <f t="shared" si="6"/>
        <v>6725.4654254576699</v>
      </c>
      <c r="J53" s="773">
        <f t="shared" si="6"/>
        <v>0</v>
      </c>
      <c r="K53" s="773">
        <f t="shared" si="6"/>
        <v>690.48848566906247</v>
      </c>
      <c r="L53" s="773">
        <f t="shared" si="6"/>
        <v>0</v>
      </c>
      <c r="M53" s="773">
        <f t="shared" ca="1" si="6"/>
        <v>0</v>
      </c>
      <c r="N53" s="773">
        <f t="shared" si="6"/>
        <v>0</v>
      </c>
      <c r="O53" s="773">
        <f t="shared" ca="1" si="6"/>
        <v>0</v>
      </c>
      <c r="P53" s="773">
        <f>P41+P46+P48</f>
        <v>0</v>
      </c>
      <c r="Q53" s="774">
        <f t="shared" si="6"/>
        <v>0</v>
      </c>
      <c r="R53" s="775">
        <f ca="1">R41+R46+R48</f>
        <v>171420.48856581072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0.1916634320145815</v>
      </c>
      <c r="D55" s="836">
        <f t="shared" ca="1" si="7"/>
        <v>0.21027916892684595</v>
      </c>
      <c r="E55" s="836">
        <f t="shared" ca="1" si="7"/>
        <v>0.20199999999999999</v>
      </c>
      <c r="F55" s="836">
        <f t="shared" si="7"/>
        <v>0.22699999999999998</v>
      </c>
      <c r="G55" s="836">
        <f t="shared" ca="1" si="7"/>
        <v>0.26699999999999996</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3444.7070931359958</v>
      </c>
      <c r="C64" s="795">
        <f>'lokale energieproductie'!B4</f>
        <v>3444.7070931359958</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17246.860502135671</v>
      </c>
      <c r="C66" s="795">
        <f>'lokale energieproductie'!B6</f>
        <v>17246.860502135671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20983.5</v>
      </c>
      <c r="C67" s="794">
        <f>B67*IFERROR(SUM(J67:L67)/SUM(D67:M67),0)</f>
        <v>2416.5000000000005</v>
      </c>
      <c r="D67" s="826">
        <f>'lokale energieproductie'!C7</f>
        <v>21843.529411764706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2842.9411764705883</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4412.3929411764711</v>
      </c>
      <c r="P67" s="922">
        <v>0</v>
      </c>
      <c r="Q67" s="785"/>
      <c r="R67" s="742"/>
    </row>
    <row r="68" spans="1:18" ht="30.75" thickBot="1">
      <c r="A68" s="801" t="s">
        <v>353</v>
      </c>
      <c r="B68" s="794">
        <f>'lokale energieproductie'!B8</f>
        <v>1341</v>
      </c>
      <c r="C68" s="794">
        <f>B68*IFERROR(SUM(J68:L68)/SUM(D68:M68),0)</f>
        <v>1341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3831.4285714285716</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43016.06759527167</v>
      </c>
      <c r="C69" s="803">
        <f>SUM(C64:C68)</f>
        <v>24449.067595271667</v>
      </c>
      <c r="D69" s="804">
        <f t="shared" ref="D69:M69" si="8">SUM(D67:D68)</f>
        <v>21843.529411764706</v>
      </c>
      <c r="E69" s="804">
        <f t="shared" si="8"/>
        <v>0</v>
      </c>
      <c r="F69" s="804">
        <f t="shared" si="8"/>
        <v>0</v>
      </c>
      <c r="G69" s="804">
        <f t="shared" si="8"/>
        <v>0</v>
      </c>
      <c r="H69" s="804">
        <f t="shared" si="8"/>
        <v>0</v>
      </c>
      <c r="I69" s="804">
        <f t="shared" si="8"/>
        <v>0</v>
      </c>
      <c r="J69" s="804">
        <f t="shared" si="8"/>
        <v>0</v>
      </c>
      <c r="K69" s="804">
        <f t="shared" si="8"/>
        <v>6674.3697478991598</v>
      </c>
      <c r="L69" s="804">
        <f t="shared" si="8"/>
        <v>0</v>
      </c>
      <c r="M69" s="930">
        <f t="shared" si="8"/>
        <v>0</v>
      </c>
      <c r="N69" s="805">
        <v>0</v>
      </c>
      <c r="O69" s="805">
        <f>SUM(O67:O68)</f>
        <v>4412.3929411764711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29976.428571428572</v>
      </c>
      <c r="C78" s="817">
        <f>B78*IFERROR(SUM(I78:L78)/SUM(D78:M78),0)</f>
        <v>3452.1428571428569</v>
      </c>
      <c r="D78" s="832">
        <f>'lokale energieproductie'!C16</f>
        <v>31205.042016806728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4061.3445378151264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6303.4184873949598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29976.428571428572</v>
      </c>
      <c r="C81" s="803">
        <f>SUM(C78:C80)</f>
        <v>3452.1428571428569</v>
      </c>
      <c r="D81" s="803">
        <f t="shared" ref="D81:P81" si="9">SUM(D78:D80)</f>
        <v>31205.042016806728</v>
      </c>
      <c r="E81" s="803">
        <f t="shared" si="9"/>
        <v>0</v>
      </c>
      <c r="F81" s="803">
        <f t="shared" si="9"/>
        <v>0</v>
      </c>
      <c r="G81" s="803">
        <f t="shared" si="9"/>
        <v>0</v>
      </c>
      <c r="H81" s="803">
        <f t="shared" si="9"/>
        <v>0</v>
      </c>
      <c r="I81" s="803">
        <f t="shared" si="9"/>
        <v>0</v>
      </c>
      <c r="J81" s="803">
        <f t="shared" si="9"/>
        <v>0</v>
      </c>
      <c r="K81" s="803">
        <f t="shared" si="9"/>
        <v>4061.3445378151264</v>
      </c>
      <c r="L81" s="803">
        <f t="shared" si="9"/>
        <v>0</v>
      </c>
      <c r="M81" s="803">
        <f t="shared" si="9"/>
        <v>0</v>
      </c>
      <c r="N81" s="803">
        <v>0</v>
      </c>
      <c r="O81" s="803">
        <f>SUM(O78:O80)</f>
        <v>6303.4184873949598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42631.539206927671</v>
      </c>
      <c r="C4" s="478">
        <f>huishoudens!C8</f>
        <v>0</v>
      </c>
      <c r="D4" s="478">
        <f>huishoudens!D8</f>
        <v>110925.02509768897</v>
      </c>
      <c r="E4" s="478">
        <f>huishoudens!E8</f>
        <v>6391.7305065940227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21782.670581040504</v>
      </c>
      <c r="O4" s="478">
        <f>huishoudens!O8</f>
        <v>522.15333333333331</v>
      </c>
      <c r="P4" s="479">
        <f>huishoudens!P8</f>
        <v>858</v>
      </c>
      <c r="Q4" s="480">
        <f>SUM(B4:P4)</f>
        <v>183111.1187255845</v>
      </c>
    </row>
    <row r="5" spans="1:17">
      <c r="A5" s="477" t="s">
        <v>156</v>
      </c>
      <c r="B5" s="478">
        <f ca="1">tertiair!B16</f>
        <v>66758.431149999989</v>
      </c>
      <c r="C5" s="478">
        <f ca="1">tertiair!C16</f>
        <v>0</v>
      </c>
      <c r="D5" s="478">
        <f ca="1">tertiair!D16</f>
        <v>95030.257174600003</v>
      </c>
      <c r="E5" s="478">
        <f>tertiair!E16</f>
        <v>1485.472857256929</v>
      </c>
      <c r="F5" s="478">
        <f ca="1">tertiair!F16</f>
        <v>12780.824214739332</v>
      </c>
      <c r="G5" s="478">
        <f>tertiair!G16</f>
        <v>0</v>
      </c>
      <c r="H5" s="478">
        <f>tertiair!H16</f>
        <v>0</v>
      </c>
      <c r="I5" s="478">
        <f>tertiair!I16</f>
        <v>0</v>
      </c>
      <c r="J5" s="478">
        <f>tertiair!J16</f>
        <v>0.27552760386733965</v>
      </c>
      <c r="K5" s="478">
        <f>tertiair!K16</f>
        <v>0</v>
      </c>
      <c r="L5" s="478">
        <f ca="1">tertiair!L16</f>
        <v>0</v>
      </c>
      <c r="M5" s="478">
        <f>tertiair!M16</f>
        <v>0</v>
      </c>
      <c r="N5" s="478">
        <f ca="1">tertiair!N16</f>
        <v>7027.8294254316434</v>
      </c>
      <c r="O5" s="478">
        <f>tertiair!O16</f>
        <v>4.6900000000000004</v>
      </c>
      <c r="P5" s="479">
        <f>tertiair!P16</f>
        <v>133.46666666666667</v>
      </c>
      <c r="Q5" s="477">
        <f t="shared" ref="Q5:Q13" ca="1" si="0">SUM(B5:P5)</f>
        <v>183221.24701629844</v>
      </c>
    </row>
    <row r="6" spans="1:17">
      <c r="A6" s="477" t="s">
        <v>194</v>
      </c>
      <c r="B6" s="478">
        <f>'openbare verlichting'!B8</f>
        <v>2280.6689999999999</v>
      </c>
      <c r="C6" s="478"/>
      <c r="D6" s="478"/>
      <c r="E6" s="478"/>
      <c r="F6" s="478"/>
      <c r="G6" s="478"/>
      <c r="H6" s="478"/>
      <c r="I6" s="478"/>
      <c r="J6" s="478"/>
      <c r="K6" s="478"/>
      <c r="L6" s="478"/>
      <c r="M6" s="478"/>
      <c r="N6" s="478"/>
      <c r="O6" s="478"/>
      <c r="P6" s="479"/>
      <c r="Q6" s="477">
        <f t="shared" si="0"/>
        <v>2280.6689999999999</v>
      </c>
    </row>
    <row r="7" spans="1:17">
      <c r="A7" s="477" t="s">
        <v>112</v>
      </c>
      <c r="B7" s="478">
        <f>landbouw!B8</f>
        <v>13276.903</v>
      </c>
      <c r="C7" s="478">
        <f>landbouw!C8</f>
        <v>29976.428571428572</v>
      </c>
      <c r="D7" s="478">
        <f>landbouw!D8</f>
        <v>0</v>
      </c>
      <c r="E7" s="478">
        <f>landbouw!E8</f>
        <v>390.24873151237421</v>
      </c>
      <c r="F7" s="478">
        <f>landbouw!F8</f>
        <v>55310.860451818968</v>
      </c>
      <c r="G7" s="478">
        <f>landbouw!G8</f>
        <v>0</v>
      </c>
      <c r="H7" s="478">
        <f>landbouw!H8</f>
        <v>0</v>
      </c>
      <c r="I7" s="478">
        <f>landbouw!I8</f>
        <v>0</v>
      </c>
      <c r="J7" s="478">
        <f>landbouw!J8</f>
        <v>1923.5381199442843</v>
      </c>
      <c r="K7" s="478">
        <f>landbouw!K8</f>
        <v>0</v>
      </c>
      <c r="L7" s="478">
        <f>landbouw!L8</f>
        <v>0</v>
      </c>
      <c r="M7" s="478">
        <f>landbouw!M8</f>
        <v>0</v>
      </c>
      <c r="N7" s="478">
        <f>landbouw!N8</f>
        <v>0</v>
      </c>
      <c r="O7" s="478">
        <f>landbouw!O8</f>
        <v>0</v>
      </c>
      <c r="P7" s="479">
        <f>landbouw!P8</f>
        <v>0</v>
      </c>
      <c r="Q7" s="477">
        <f t="shared" si="0"/>
        <v>100877.97887470419</v>
      </c>
    </row>
    <row r="8" spans="1:17">
      <c r="A8" s="477" t="s">
        <v>635</v>
      </c>
      <c r="B8" s="478">
        <f>industrie!B18</f>
        <v>48631.482750000003</v>
      </c>
      <c r="C8" s="478">
        <f>industrie!C18</f>
        <v>0</v>
      </c>
      <c r="D8" s="478">
        <f>industrie!D18</f>
        <v>72144.134135700006</v>
      </c>
      <c r="E8" s="478">
        <f>industrie!E18</f>
        <v>4849.1924684936384</v>
      </c>
      <c r="F8" s="478">
        <f>industrie!F18</f>
        <v>16422.954845072189</v>
      </c>
      <c r="G8" s="478">
        <f>industrie!G18</f>
        <v>0</v>
      </c>
      <c r="H8" s="478">
        <f>industrie!H18</f>
        <v>0</v>
      </c>
      <c r="I8" s="478">
        <f>industrie!I18</f>
        <v>0</v>
      </c>
      <c r="J8" s="478">
        <f>industrie!J18</f>
        <v>26.71879784468014</v>
      </c>
      <c r="K8" s="478">
        <f>industrie!K18</f>
        <v>0</v>
      </c>
      <c r="L8" s="478">
        <f>industrie!L18</f>
        <v>0</v>
      </c>
      <c r="M8" s="478">
        <f>industrie!M18</f>
        <v>0</v>
      </c>
      <c r="N8" s="478">
        <f>industrie!N18</f>
        <v>18397.457240783358</v>
      </c>
      <c r="O8" s="478">
        <f>industrie!O18</f>
        <v>0</v>
      </c>
      <c r="P8" s="479">
        <f>industrie!P18</f>
        <v>0</v>
      </c>
      <c r="Q8" s="477">
        <f t="shared" si="0"/>
        <v>160471.94023789387</v>
      </c>
    </row>
    <row r="9" spans="1:17" s="483" customFormat="1">
      <c r="A9" s="481" t="s">
        <v>561</v>
      </c>
      <c r="B9" s="482">
        <f>transport!B14</f>
        <v>66.303818752191802</v>
      </c>
      <c r="C9" s="482">
        <f>transport!C14</f>
        <v>0</v>
      </c>
      <c r="D9" s="482">
        <f>transport!D14</f>
        <v>235.45532544993273</v>
      </c>
      <c r="E9" s="482">
        <f>transport!E14</f>
        <v>345.88098266559837</v>
      </c>
      <c r="F9" s="482">
        <f>transport!F14</f>
        <v>0</v>
      </c>
      <c r="G9" s="482">
        <f>transport!G14</f>
        <v>158072.79604614864</v>
      </c>
      <c r="H9" s="482">
        <f>transport!H14</f>
        <v>27009.901307058914</v>
      </c>
      <c r="I9" s="482">
        <f>transport!I14</f>
        <v>0</v>
      </c>
      <c r="J9" s="482">
        <f>transport!J14</f>
        <v>0</v>
      </c>
      <c r="K9" s="482">
        <f>transport!K14</f>
        <v>0</v>
      </c>
      <c r="L9" s="482">
        <f>transport!L14</f>
        <v>0</v>
      </c>
      <c r="M9" s="482">
        <f>transport!M14</f>
        <v>10037.209170992057</v>
      </c>
      <c r="N9" s="482">
        <f>transport!N14</f>
        <v>0</v>
      </c>
      <c r="O9" s="482">
        <f>transport!O14</f>
        <v>0</v>
      </c>
      <c r="P9" s="482">
        <f>transport!P14</f>
        <v>0</v>
      </c>
      <c r="Q9" s="481">
        <f>SUM(B9:P9)</f>
        <v>195767.5466510673</v>
      </c>
    </row>
    <row r="10" spans="1:17">
      <c r="A10" s="477" t="s">
        <v>551</v>
      </c>
      <c r="B10" s="478">
        <f>transport!B54</f>
        <v>0</v>
      </c>
      <c r="C10" s="478">
        <f>transport!C54</f>
        <v>0</v>
      </c>
      <c r="D10" s="478">
        <f>transport!D54</f>
        <v>0</v>
      </c>
      <c r="E10" s="478">
        <f>transport!E54</f>
        <v>0</v>
      </c>
      <c r="F10" s="478">
        <f>transport!F54</f>
        <v>0</v>
      </c>
      <c r="G10" s="478">
        <f>transport!G54</f>
        <v>1382.6733668540712</v>
      </c>
      <c r="H10" s="478">
        <f>transport!H54</f>
        <v>0</v>
      </c>
      <c r="I10" s="478">
        <f>transport!I54</f>
        <v>0</v>
      </c>
      <c r="J10" s="478">
        <f>transport!J54</f>
        <v>0</v>
      </c>
      <c r="K10" s="478">
        <f>transport!K54</f>
        <v>0</v>
      </c>
      <c r="L10" s="478">
        <f>transport!L54</f>
        <v>0</v>
      </c>
      <c r="M10" s="478">
        <f>transport!M54</f>
        <v>78.529743320118357</v>
      </c>
      <c r="N10" s="478">
        <f>transport!N54</f>
        <v>0</v>
      </c>
      <c r="O10" s="478">
        <f>transport!O54</f>
        <v>0</v>
      </c>
      <c r="P10" s="479">
        <f>transport!P54</f>
        <v>0</v>
      </c>
      <c r="Q10" s="477">
        <f t="shared" si="0"/>
        <v>1461.2031101741895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173645.32892567987</v>
      </c>
      <c r="C14" s="488">
        <f t="shared" ref="C14:Q14" ca="1" si="1">SUM(C4:C13)</f>
        <v>29976.428571428572</v>
      </c>
      <c r="D14" s="488">
        <f t="shared" ca="1" si="1"/>
        <v>278334.87173343892</v>
      </c>
      <c r="E14" s="488">
        <f t="shared" si="1"/>
        <v>13462.525546522562</v>
      </c>
      <c r="F14" s="488">
        <f t="shared" ca="1" si="1"/>
        <v>84514.639511630492</v>
      </c>
      <c r="G14" s="488">
        <f t="shared" si="1"/>
        <v>159455.46941300272</v>
      </c>
      <c r="H14" s="488">
        <f t="shared" si="1"/>
        <v>27009.901307058914</v>
      </c>
      <c r="I14" s="488">
        <f t="shared" si="1"/>
        <v>0</v>
      </c>
      <c r="J14" s="488">
        <f t="shared" si="1"/>
        <v>1950.532445392832</v>
      </c>
      <c r="K14" s="488">
        <f t="shared" si="1"/>
        <v>0</v>
      </c>
      <c r="L14" s="488">
        <f t="shared" ca="1" si="1"/>
        <v>0</v>
      </c>
      <c r="M14" s="488">
        <f t="shared" si="1"/>
        <v>10115.738914312175</v>
      </c>
      <c r="N14" s="488">
        <f t="shared" ca="1" si="1"/>
        <v>47207.957247255501</v>
      </c>
      <c r="O14" s="488">
        <f t="shared" si="1"/>
        <v>526.84333333333336</v>
      </c>
      <c r="P14" s="489">
        <f t="shared" si="1"/>
        <v>991.4666666666667</v>
      </c>
      <c r="Q14" s="489">
        <f t="shared" ca="1" si="1"/>
        <v>827191.70361572248</v>
      </c>
    </row>
    <row r="16" spans="1:17">
      <c r="A16" s="491" t="s">
        <v>556</v>
      </c>
      <c r="B16" s="841">
        <f ca="1">huishoudens!B10</f>
        <v>0.1916634320145815</v>
      </c>
      <c r="C16" s="841">
        <f ca="1">huishoudens!C10</f>
        <v>0.21027916892684595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8170.9071164639472</v>
      </c>
      <c r="C21" s="478">
        <f t="shared" ref="C21:C30" ca="1" si="3">C4*$C$16</f>
        <v>0</v>
      </c>
      <c r="D21" s="478">
        <f t="shared" ref="D21:D30" si="4">D4*$D$16</f>
        <v>22406.855069733174</v>
      </c>
      <c r="E21" s="478">
        <f t="shared" ref="E21:E30" si="5">E4*$E$16</f>
        <v>1450.9228249968432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32028.685011193964</v>
      </c>
    </row>
    <row r="22" spans="1:17">
      <c r="A22" s="477" t="s">
        <v>156</v>
      </c>
      <c r="B22" s="478">
        <f t="shared" ca="1" si="2"/>
        <v>12795.150030118142</v>
      </c>
      <c r="C22" s="478">
        <f t="shared" ca="1" si="3"/>
        <v>0</v>
      </c>
      <c r="D22" s="478">
        <f t="shared" ca="1" si="4"/>
        <v>19196.111949269201</v>
      </c>
      <c r="E22" s="478">
        <f t="shared" si="5"/>
        <v>337.20233859732292</v>
      </c>
      <c r="F22" s="478">
        <f t="shared" ca="1" si="6"/>
        <v>3412.4800653354018</v>
      </c>
      <c r="G22" s="478">
        <f t="shared" si="7"/>
        <v>0</v>
      </c>
      <c r="H22" s="478">
        <f t="shared" si="8"/>
        <v>0</v>
      </c>
      <c r="I22" s="478">
        <f t="shared" si="9"/>
        <v>0</v>
      </c>
      <c r="J22" s="478">
        <f t="shared" si="10"/>
        <v>9.753677176903823E-2</v>
      </c>
      <c r="K22" s="478">
        <f t="shared" si="11"/>
        <v>0</v>
      </c>
      <c r="L22" s="478">
        <f t="shared" ca="1" si="12"/>
        <v>0</v>
      </c>
      <c r="M22" s="478">
        <f t="shared" si="13"/>
        <v>0</v>
      </c>
      <c r="N22" s="478">
        <f t="shared" ca="1" si="14"/>
        <v>0</v>
      </c>
      <c r="O22" s="478">
        <f t="shared" si="15"/>
        <v>0</v>
      </c>
      <c r="P22" s="479">
        <f t="shared" si="16"/>
        <v>0</v>
      </c>
      <c r="Q22" s="477">
        <f t="shared" ref="Q22:Q30" ca="1" si="17">SUM(B22:P22)</f>
        <v>35741.04192009184</v>
      </c>
    </row>
    <row r="23" spans="1:17">
      <c r="A23" s="477" t="s">
        <v>194</v>
      </c>
      <c r="B23" s="478">
        <f t="shared" ca="1" si="2"/>
        <v>437.12084782926354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437.12084782926354</v>
      </c>
    </row>
    <row r="24" spans="1:17">
      <c r="A24" s="477" t="s">
        <v>112</v>
      </c>
      <c r="B24" s="478">
        <f t="shared" ca="1" si="2"/>
        <v>2544.696795504693</v>
      </c>
      <c r="C24" s="478">
        <f t="shared" ca="1" si="3"/>
        <v>6303.4184873949598</v>
      </c>
      <c r="D24" s="478">
        <f t="shared" si="4"/>
        <v>0</v>
      </c>
      <c r="E24" s="478">
        <f t="shared" si="5"/>
        <v>88.586462053308949</v>
      </c>
      <c r="F24" s="478">
        <f t="shared" si="6"/>
        <v>14767.999740635665</v>
      </c>
      <c r="G24" s="478">
        <f t="shared" si="7"/>
        <v>0</v>
      </c>
      <c r="H24" s="478">
        <f t="shared" si="8"/>
        <v>0</v>
      </c>
      <c r="I24" s="478">
        <f t="shared" si="9"/>
        <v>0</v>
      </c>
      <c r="J24" s="478">
        <f t="shared" si="10"/>
        <v>680.93249446027664</v>
      </c>
      <c r="K24" s="478">
        <f t="shared" si="11"/>
        <v>0</v>
      </c>
      <c r="L24" s="478">
        <f t="shared" si="12"/>
        <v>0</v>
      </c>
      <c r="M24" s="478">
        <f t="shared" si="13"/>
        <v>0</v>
      </c>
      <c r="N24" s="478">
        <f t="shared" si="14"/>
        <v>0</v>
      </c>
      <c r="O24" s="478">
        <f t="shared" si="15"/>
        <v>0</v>
      </c>
      <c r="P24" s="479">
        <f t="shared" si="16"/>
        <v>0</v>
      </c>
      <c r="Q24" s="477">
        <f t="shared" ca="1" si="17"/>
        <v>24385.633980048904</v>
      </c>
    </row>
    <row r="25" spans="1:17">
      <c r="A25" s="477" t="s">
        <v>635</v>
      </c>
      <c r="B25" s="478">
        <f t="shared" ca="1" si="2"/>
        <v>9320.8768878229184</v>
      </c>
      <c r="C25" s="478">
        <f t="shared" ca="1" si="3"/>
        <v>0</v>
      </c>
      <c r="D25" s="478">
        <f t="shared" si="4"/>
        <v>14573.115095411402</v>
      </c>
      <c r="E25" s="478">
        <f t="shared" si="5"/>
        <v>1100.766690348056</v>
      </c>
      <c r="F25" s="478">
        <f t="shared" si="6"/>
        <v>4384.9289436342742</v>
      </c>
      <c r="G25" s="478">
        <f t="shared" si="7"/>
        <v>0</v>
      </c>
      <c r="H25" s="478">
        <f t="shared" si="8"/>
        <v>0</v>
      </c>
      <c r="I25" s="478">
        <f t="shared" si="9"/>
        <v>0</v>
      </c>
      <c r="J25" s="478">
        <f t="shared" si="10"/>
        <v>9.4584544370167691</v>
      </c>
      <c r="K25" s="478">
        <f t="shared" si="11"/>
        <v>0</v>
      </c>
      <c r="L25" s="478">
        <f t="shared" si="12"/>
        <v>0</v>
      </c>
      <c r="M25" s="478">
        <f t="shared" si="13"/>
        <v>0</v>
      </c>
      <c r="N25" s="478">
        <f t="shared" si="14"/>
        <v>0</v>
      </c>
      <c r="O25" s="478">
        <f t="shared" si="15"/>
        <v>0</v>
      </c>
      <c r="P25" s="479">
        <f t="shared" si="16"/>
        <v>0</v>
      </c>
      <c r="Q25" s="477">
        <f t="shared" ca="1" si="17"/>
        <v>29389.146071653668</v>
      </c>
    </row>
    <row r="26" spans="1:17" s="483" customFormat="1">
      <c r="A26" s="481" t="s">
        <v>561</v>
      </c>
      <c r="B26" s="835">
        <f t="shared" ca="1" si="2"/>
        <v>12.708017457717848</v>
      </c>
      <c r="C26" s="482">
        <f t="shared" ca="1" si="3"/>
        <v>0</v>
      </c>
      <c r="D26" s="482">
        <f t="shared" si="4"/>
        <v>47.561975740886417</v>
      </c>
      <c r="E26" s="482">
        <f t="shared" si="5"/>
        <v>78.514983065090831</v>
      </c>
      <c r="F26" s="482">
        <f t="shared" si="6"/>
        <v>0</v>
      </c>
      <c r="G26" s="482">
        <f t="shared" si="7"/>
        <v>42205.436544321688</v>
      </c>
      <c r="H26" s="482">
        <f t="shared" si="8"/>
        <v>6725.4654254576699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49069.686946043053</v>
      </c>
    </row>
    <row r="27" spans="1:17">
      <c r="A27" s="477" t="s">
        <v>551</v>
      </c>
      <c r="B27" s="478">
        <f t="shared" ca="1" si="2"/>
        <v>0</v>
      </c>
      <c r="C27" s="478">
        <f t="shared" ca="1" si="3"/>
        <v>0</v>
      </c>
      <c r="D27" s="478">
        <f t="shared" si="4"/>
        <v>0</v>
      </c>
      <c r="E27" s="478">
        <f t="shared" si="5"/>
        <v>0</v>
      </c>
      <c r="F27" s="478">
        <f t="shared" si="6"/>
        <v>0</v>
      </c>
      <c r="G27" s="478">
        <f t="shared" si="7"/>
        <v>369.17378895003702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369.17378895003702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33281.459695196689</v>
      </c>
      <c r="C31" s="488">
        <f t="shared" ca="1" si="18"/>
        <v>6303.4184873949598</v>
      </c>
      <c r="D31" s="488">
        <f t="shared" ca="1" si="18"/>
        <v>56223.644090154659</v>
      </c>
      <c r="E31" s="488">
        <f t="shared" si="18"/>
        <v>3055.9932990606221</v>
      </c>
      <c r="F31" s="488">
        <f t="shared" ca="1" si="18"/>
        <v>22565.40874960534</v>
      </c>
      <c r="G31" s="488">
        <f t="shared" si="18"/>
        <v>42574.610333271725</v>
      </c>
      <c r="H31" s="488">
        <f t="shared" si="18"/>
        <v>6725.4654254576699</v>
      </c>
      <c r="I31" s="488">
        <f t="shared" si="18"/>
        <v>0</v>
      </c>
      <c r="J31" s="488">
        <f t="shared" si="18"/>
        <v>690.48848566906236</v>
      </c>
      <c r="K31" s="488">
        <f t="shared" si="18"/>
        <v>0</v>
      </c>
      <c r="L31" s="488">
        <f t="shared" ca="1" si="18"/>
        <v>0</v>
      </c>
      <c r="M31" s="488">
        <f t="shared" si="18"/>
        <v>0</v>
      </c>
      <c r="N31" s="488">
        <f t="shared" ca="1" si="18"/>
        <v>0</v>
      </c>
      <c r="O31" s="488">
        <f t="shared" si="18"/>
        <v>0</v>
      </c>
      <c r="P31" s="489">
        <f t="shared" si="18"/>
        <v>0</v>
      </c>
      <c r="Q31" s="489">
        <f t="shared" ca="1" si="18"/>
        <v>171420.48856581075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0.1916634320145815</v>
      </c>
      <c r="C17" s="528">
        <f ca="1">'EF ele_warmte'!B22</f>
        <v>0.21027916892684595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3</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4.6900000000000004</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0.1916634320145815</v>
      </c>
      <c r="C17" s="528">
        <f ca="1">'EF ele_warmte'!B22</f>
        <v>0.21027916892684595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0.1916634320145815</v>
      </c>
      <c r="C29" s="529">
        <f ca="1">'EF ele_warmte'!B22</f>
        <v>0.21027916892684595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2018-09-06T12:47:44Z</dcterms:modified>
</cp:coreProperties>
</file>