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2"/>
  <c r="C29"/>
  <c r="C21"/>
  <c r="C26"/>
  <c r="F25"/>
  <c r="F31" s="1"/>
  <c r="F14"/>
  <c r="R13" i="14" l="1"/>
  <c r="R15" s="1"/>
  <c r="R23" s="1"/>
  <c r="C28"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<sst xmlns="http://schemas.openxmlformats.org/spreadsheetml/2006/main" count="1923" uniqueCount="815">
  <si>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</si>
  <si>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</si>
  <si>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</si>
  <si>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</si>
  <si>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</si>
  <si>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</si>
  <si>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</si>
  <si>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</si>
  <si>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</si>
  <si>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</si>
  <si>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</si>
  <si>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</si>
  <si>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</si>
  <si>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</si>
  <si>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</si>
  <si>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</si>
  <si>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</si>
  <si>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</si>
  <si>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</si>
  <si>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</si>
  <si>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</si>
  <si>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</si>
  <si>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</si>
  <si>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</si>
  <si>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</si>
  <si>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</si>
  <si>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</si>
  <si>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</si>
  <si>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</si>
  <si>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</si>
  <si>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</si>
  <si>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</si>
  <si>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</si>
  <si>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</si>
  <si>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</si>
  <si>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</si>
  <si>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</si>
  <si>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</si>
  <si>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</si>
  <si>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</si>
  <si>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</si>
  <si>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</si>
  <si>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</si>
  <si>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</si>
  <si>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</si>
  <si>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</si>
  <si>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</si>
  <si>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</si>
  <si>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</si>
  <si>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</si>
  <si>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</si>
  <si>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</si>
  <si>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</si>
  <si>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</si>
  <si>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</si>
  <si>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</si>
  <si>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</si>
  <si>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</si>
  <si>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</si>
  <si>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</si>
  <si>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</si>
  <si>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</si>
  <si>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</si>
  <si>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</si>
  <si>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</si>
  <si>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</si>
  <si>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</si>
  <si>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</si>
  <si>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</si>
  <si>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</si>
  <si>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</si>
  <si>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</si>
  <si>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</si>
  <si>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</si>
  <si>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</si>
  <si>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</si>
  <si>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</si>
  <si>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</si>
  <si>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</si>
  <si>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</si>
  <si>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</si>
  <si>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</si>
  <si>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</si>
  <si>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</si>
  <si>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</si>
  <si>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</si>
  <si>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</si>
  <si>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</si>
  <si>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</si>
  <si>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</si>
  <si>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</si>
  <si>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</si>
  <si>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</si>
  <si>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</si>
  <si>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</si>
  <si>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</si>
  <si>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</si>
  <si>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</si>
  <si>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</si>
  <si>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</si>
  <si>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</si>
  <si>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</si>
  <si>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</si>
  <si>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</si>
  <si>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</si>
  <si>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</si>
  <si>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</si>
  <si>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</si>
  <si>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</si>
  <si>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</si>
  <si>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</si>
  <si>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</si>
  <si>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</si>
  <si>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</si>
  <si>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</si>
  <si>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</si>
  <si>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</si>
  <si>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</si>
  <si>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</si>
  <si>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</si>
  <si>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</si>
  <si>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</si>
  <si>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</si>
  <si>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</si>
  <si>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</si>
  <si>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</si>
  <si>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</si>
  <si>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</si>
  <si>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</si>
  <si>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</si>
  <si>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</si>
  <si>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</si>
  <si>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</si>
  <si>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</si>
  <si>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</si>
  <si>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</si>
  <si>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</si>
  <si>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</si>
  <si>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</si>
  <si>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</si>
  <si>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</si>
  <si>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</si>
  <si>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</si>
  <si>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</si>
  <si>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</si>
  <si>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</si>
  <si>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</si>
  <si>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</si>
  <si>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</si>
  <si>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</si>
  <si>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</si>
  <si>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</si>
  <si>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</si>
  <si>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</si>
  <si>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</si>
  <si>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</si>
  <si>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</si>
  <si>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</si>
  <si>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</si>
  <si>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</si>
  <si>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</si>
  <si>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</si>
  <si>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</si>
  <si>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</si>
  <si>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</si>
  <si>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</si>
  <si>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</si>
  <si>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</si>
  <si>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</si>
  <si>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</si>
  <si>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</si>
  <si>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</si>
  <si>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</si>
  <si>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</si>
  <si>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</si>
  <si>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</si>
  <si>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</si>
  <si>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</si>
  <si>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</si>
  <si>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</si>
  <si>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</si>
  <si>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</si>
  <si>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</si>
  <si>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</si>
  <si>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</si>
  <si>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</si>
  <si>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</si>
  <si>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</si>
  <si>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</si>
  <si>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</si>
  <si>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</si>
  <si>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</si>
  <si>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</si>
  <si>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</si>
  <si>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</si>
  <si>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</si>
  <si>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</si>
  <si>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</si>
  <si>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</si>
  <si>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</si>
  <si>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</si>
  <si>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</si>
  <si>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</si>
  <si>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</si>
  <si>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</si>
  <si>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</si>
  <si>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</si>
  <si>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</si>
  <si>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</si>
  <si>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</si>
  <si>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</si>
  <si>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</si>
  <si>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</si>
  <si>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</si>
  <si>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</si>
  <si>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</si>
  <si>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</si>
  <si>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</si>
  <si>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</si>
  <si>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</si>
  <si>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</si>
  <si>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</si>
  <si>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</si>
  <si>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</si>
  <si>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</si>
  <si>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</si>
  <si>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</si>
  <si>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</si>
  <si>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</si>
  <si>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</si>
  <si>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</si>
  <si>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</si>
  <si>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</si>
  <si>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</si>
  <si>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</si>
  <si>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</si>
  <si>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</si>
  <si>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</si>
  <si>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</si>
  <si>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</si>
  <si>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</si>
  <si>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</si>
  <si>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</si>
  <si>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</si>
  <si>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</si>
  <si>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</si>
  <si>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</si>
  <si>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</si>
  <si>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</si>
  <si>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</si>
  <si>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</si>
  <si>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</si>
  <si>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</si>
  <si>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</si>
  <si>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</si>
  <si>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</si>
  <si>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</si>
  <si>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</si>
  <si>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</si>
  <si>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</si>
  <si>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</si>
  <si>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</si>
  <si>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</si>
  <si>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</si>
  <si>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</si>
  <si>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</si>
  <si>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</si>
  <si>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</si>
  <si>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</si>
  <si>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</si>
  <si>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</si>
  <si>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</si>
  <si>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</si>
  <si>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</si>
  <si>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</si>
  <si>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</si>
  <si>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</si>
  <si>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</si>
  <si>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</si>
  <si>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</si>
  <si>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</si>
  <si>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</si>
  <si>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</si>
  <si>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</si>
  <si>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</si>
  <si>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</si>
  <si>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</si>
  <si>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</si>
  <si>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</si>
  <si>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</si>
  <si>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</si>
  <si>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</si>
  <si>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</si>
  <si>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</si>
  <si>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</si>
  <si>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</si>
  <si>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</si>
  <si>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</si>
  <si>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</si>
  <si>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</si>
  <si>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</si>
  <si>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</si>
  <si>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</si>
  <si>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</si>
  <si>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</si>
  <si>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</si>
  <si>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</si>
  <si>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</si>
  <si>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</si>
  <si>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</si>
  <si>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</si>
  <si>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</si>
  <si>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</si>
  <si>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</si>
  <si>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</si>
  <si>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</si>
  <si>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</si>
  <si>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</si>
  <si>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</si>
  <si>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</si>
  <si>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</si>
  <si>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</si>
  <si>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</si>
  <si>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</si>
  <si>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</si>
  <si>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</si>
  <si>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</si>
  <si>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</si>
  <si>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</si>
  <si>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</si>
  <si>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</si>
  <si>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</si>
  <si>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</si>
  <si>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</si>
  <si>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</si>
  <si>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</si>
  <si>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</si>
  <si>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</si>
  <si>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</si>
  <si>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</si>
  <si>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</si>
  <si>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</si>
  <si>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</si>
  <si>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</si>
  <si>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</si>
  <si>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</si>
  <si>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</si>
  <si>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</si>
  <si>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</si>
  <si>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</si>
  <si>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</si>
  <si>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</si>
  <si>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</si>
  <si>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</si>
  <si>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</si>
  <si>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</si>
  <si>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</si>
  <si>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</si>
  <si>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</si>
  <si>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</si>
  <si>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</si>
  <si>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</si>
  <si>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</si>
  <si>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</si>
  <si>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</si>
  <si>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</si>
  <si>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</si>
  <si>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</si>
  <si>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</si>
  <si>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</si>
  <si>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</si>
  <si>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</si>
  <si>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</si>
  <si>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</si>
  <si>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</si>
  <si>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</si>
  <si>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</si>
  <si>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</si>
  <si>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</si>
  <si>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</si>
  <si>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</si>
  <si>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</si>
  <si>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</si>
  <si>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</si>
  <si>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</si>
  <si>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</si>
  <si>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</si>
  <si>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</si>
  <si>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</si>
  <si>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</si>
  <si>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</si>
  <si>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</si>
  <si>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</si>
  <si>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</si>
  <si>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</si>
  <si>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</si>
  <si>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</si>
  <si>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</si>
  <si>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</si>
  <si>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</si>
  <si>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</si>
  <si>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</si>
  <si>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</si>
  <si>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</si>
  <si>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</si>
  <si>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</si>
  <si>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</si>
  <si>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</si>
  <si>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</si>
  <si>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</si>
  <si>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</si>
  <si>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</si>
  <si>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</si>
  <si>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</si>
  <si>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</si>
  <si>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</si>
  <si>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</si>
  <si>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</si>
  <si>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</si>
  <si>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</si>
  <si>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</si>
  <si>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</si>
  <si>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</si>
  <si>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</si>
  <si>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</si>
  <si>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</si>
  <si>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</si>
  <si>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</si>
  <si>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</si>
  <si>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</si>
  <si>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</si>
  <si>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</si>
  <si>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</si>
  <si>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</si>
  <si>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</si>
  <si>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</si>
  <si>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</si>
  <si>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</si>
  <si>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</si>
  <si>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</si>
  <si>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</si>
  <si>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</si>
  <si>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</si>
  <si>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</si>
  <si>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</si>
  <si>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</si>
  <si>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</si>
  <si>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</si>
  <si>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</si>
  <si>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</si>
  <si>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</si>
  <si>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</si>
  <si>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</si>
  <si>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</si>
  <si>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</si>
  <si>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</si>
  <si>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</si>
  <si>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</si>
  <si>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</si>
  <si>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</si>
  <si>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</si>
  <si>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</si>
  <si>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</si>
  <si>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</si>
  <si>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</si>
  <si>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</si>
  <si>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</si>
  <si>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</si>
  <si>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</si>
  <si>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</si>
  <si>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</si>
  <si>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</si>
  <si>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</si>
  <si>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</si>
  <si>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</si>
  <si>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</si>
  <si>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</si>
  <si>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</si>
  <si>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</si>
  <si>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</si>
  <si>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</si>
  <si>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</si>
  <si>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</si>
  <si>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</si>
  <si>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</si>
  <si>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</si>
  <si>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</si>
  <si>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</si>
  <si>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</si>
  <si>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</si>
  <si>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</si>
  <si>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</si>
  <si>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</si>
  <si>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</si>
  <si>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</si>
  <si>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</si>
  <si>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</si>
  <si>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</si>
  <si>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</si>
  <si>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</si>
  <si>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</si>
  <si>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</si>
  <si>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</si>
  <si>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</si>
  <si>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</si>
  <si>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</si>
  <si>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</si>
  <si>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</si>
  <si>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</si>
  <si>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</si>
  <si>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</si>
  <si>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</si>
  <si>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</si>
  <si>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</si>
  <si>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</si>
  <si>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</si>
  <si>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</si>
  <si>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</si>
  <si>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</si>
  <si>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</si>
  <si>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</si>
  <si>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</si>
  <si>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</si>
  <si>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</si>
  <si>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</si>
  <si>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</si>
  <si>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</si>
  <si>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</si>
  <si>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</si>
  <si>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</si>
  <si>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</si>
  <si>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</si>
  <si>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</si>
  <si>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</si>
  <si>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</si>
  <si>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</si>
  <si>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</si>
  <si>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</si>
  <si>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</si>
  <si>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</si>
  <si>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</si>
  <si>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</si>
  <si>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</si>
  <si>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</si>
  <si>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</si>
  <si>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</si>
  <si>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</si>
  <si>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</si>
  <si>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</si>
  <si>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</si>
  <si>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</si>
  <si>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</si>
  <si>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</si>
  <si>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</si>
  <si>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</si>
  <si>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</si>
  <si>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</si>
  <si>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</si>
  <si>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</si>
  <si>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</si>
  <si>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</si>
  <si>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</si>
  <si>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</si>
  <si>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</si>
  <si>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</si>
  <si>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</si>
  <si>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</si>
  <si>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</si>
  <si>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</si>
  <si>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</si>
  <si>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</si>
  <si>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</si>
  <si>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</si>
  <si>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</si>
  <si>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</si>
  <si>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</si>
  <si>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</si>
  <si>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</si>
  <si>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</si>
  <si>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</si>
  <si>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</si>
  <si>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</si>
  <si>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</si>
  <si>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</si>
  <si>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</si>
  <si>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</si>
  <si>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</si>
  <si>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</si>
  <si>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</si>
  <si>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</si>
  <si>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</si>
  <si>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</si>
  <si>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</si>
  <si>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</si>
  <si>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</si>
  <si>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</si>
  <si>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</si>
  <si>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</si>
  <si>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</si>
  <si>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</si>
  <si>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</si>
  <si>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</si>
  <si>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</si>
  <si>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</si>
  <si>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</si>
  <si>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</si>
  <si>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</si>
  <si>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</si>
  <si>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</si>
  <si>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</si>
  <si>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</si>
  <si>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</si>
  <si>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</si>
  <si>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</si>
  <si>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</si>
  <si>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</si>
  <si>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</si>
  <si>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</si>
  <si>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</si>
  <si>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</si>
  <si>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</si>
  <si>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</si>
  <si>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</si>
  <si>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</si>
  <si>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</si>
  <si>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</si>
  <si>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</si>
  <si>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</si>
  <si>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</si>
  <si>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</si>
  <si>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</si>
  <si>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</si>
  <si>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</si>
  <si>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</si>
  <si>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</si>
  <si>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</si>
  <si>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</si>
  <si>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</si>
  <si>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</si>
  <si>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</si>
  <si>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</si>
  <si>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</si>
  <si>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</si>
  <si>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</si>
  <si>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</si>
  <si>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</si>
  <si>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</si>
  <si>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</si>
  <si>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</si>
  <si>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</si>
  <si>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</si>
  <si>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</si>
  <si>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</si>
  <si>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</si>
  <si>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</si>
  <si>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</si>
  <si>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</si>
  <si>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</si>
  <si>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</si>
  <si>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</si>
  <si>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</si>
  <si>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</si>
  <si>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</si>
  <si>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</si>
  <si>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</si>
  <si>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</si>
  <si>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</si>
  <si>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</si>
  <si>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</si>
  <si>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</si>
  <si>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</si>
  <si>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</si>
  <si>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</si>
  <si>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</si>
  <si>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</si>
  <si>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</si>
  <si>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</si>
  <si>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</si>
  <si>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</si>
  <si>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</si>
  <si>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</si>
  <si>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</si>
  <si>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</si>
  <si>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</si>
  <si>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</si>
  <si>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</si>
  <si>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</si>
  <si>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</si>
  <si>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</si>
  <si>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</si>
  <si>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</si>
  <si>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</si>
  <si>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</si>
  <si>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</si>
  <si>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</si>
  <si>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</si>
  <si>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</si>
  <si>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</si>
  <si>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</si>
  <si>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</si>
  <si>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</si>
  <si>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</si>
  <si>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</si>
  <si>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</si>
  <si>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</si>
  <si>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</si>
  <si>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</si>
  <si>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</si>
  <si>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</si>
  <si>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</si>
  <si>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</si>
  <si>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</si>
  <si>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</si>
  <si>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</si>
  <si>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</si>
  <si>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</si>
  <si>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</si>
  <si>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</si>
  <si>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</si>
  <si>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</si>
  <si>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</si>
  <si>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</si>
  <si>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</si>
  <si>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</si>
  <si>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</si>
  <si>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</si>
  <si>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</si>
  <si>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</si>
  <si>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</si>
  <si>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</si>
  <si>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</si>
  <si>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</si>
  <si>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</si>
  <si>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</si>
  <si>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</si>
  <si>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</si>
  <si>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</si>
  <si>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</si>
  <si>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</si>
  <si>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</si>
  <si>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</si>
  <si>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</si>
  <si>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</si>
  <si>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</si>
  <si>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</si>
  <si>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</si>
  <si>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</si>
  <si>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</si>
  <si>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</si>
  <si>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</si>
  <si>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</si>
  <si>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</si>
  <si>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</si>
  <si>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</si>
  <si>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</si>
  <si>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</si>
  <si>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</si>
  <si>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</si>
  <si>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</si>
  <si>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</si>
  <si>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</si>
  <si>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</si>
  <si>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</si>
  <si>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</si>
  <si>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</si>
  <si>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</si>
  <si>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</si>
  <si>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</si>
  <si>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</si>
  <si>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</si>
  <si>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</si>
  <si>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</si>
  <si>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</si>
  <si>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</si>
  <si>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</si>
  <si>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</si>
  <si>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</si>
  <si>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</si>
  <si>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</si>
  <si>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</si>
  <si>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</si>
  <si>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</si>
  <si>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</si>
  <si>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</si>
  <si>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</si>
  <si>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</si>
  <si>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</si>
  <si>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</si>
  <si>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</si>
  <si>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</si>
  <si>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</si>
  <si>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</si>
  <si>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</si>
  <si>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</si>
  <si>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</si>
  <si>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</si>
  <si>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</si>
  <si>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</si>
  <si>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</si>
  <si>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</si>
  <si>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</si>
  <si>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33037</t>
  </si>
  <si>
    <t>ZONNEBEKE</t>
  </si>
  <si>
    <t>Eandis (januari 2018); Infrax (juni 2018)</t>
  </si>
  <si>
    <t>MOW (september 2017)</t>
  </si>
  <si>
    <t>referentietaak LNE (2017); Jaarverslag De Lijn (2016)</t>
  </si>
  <si>
    <t>VEA (april 2018)</t>
  </si>
  <si>
    <t>VEA (januari 2017)</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</si>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</sst>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118050.06864016838</c:v>
                </c:pt>
                <c:pt idx="1">
                  <c:v>31893.186145431653</c:v>
                </c:pt>
                <c:pt idx="2">
                  <c:v>806.60299999999995</c:v>
                </c:pt>
                <c:pt idx="3">
                  <c:v>36276.019049551156</c:v>
                </c:pt>
                <c:pt idx="4">
                  <c:v>216178.98030415646</c:v>
                </c:pt>
                <c:pt idx="5">
                  <c:v>130654.31691782112</c:v>
                </c:pt>
                <c:pt idx="6">
                  <c:v>1056.0565855347131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118050.06864016838</c:v>
                </c:pt>
                <c:pt idx="1">
                  <c:v>31893.186145431653</c:v>
                </c:pt>
                <c:pt idx="2">
                  <c:v>806.60299999999995</c:v>
                </c:pt>
                <c:pt idx="3">
                  <c:v>36276.019049551156</c:v>
                </c:pt>
                <c:pt idx="4">
                  <c:v>216178.98030415646</c:v>
                </c:pt>
                <c:pt idx="5">
                  <c:v>130654.31691782112</c:v>
                </c:pt>
                <c:pt idx="6">
                  <c:v>1056.0565855347131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20943.162489246119</c:v>
                </c:pt>
                <c:pt idx="1">
                  <c:v>5802.2311650040619</c:v>
                </c:pt>
                <c:pt idx="2">
                  <c:v>167.7197492204707</c:v>
                </c:pt>
                <c:pt idx="3">
                  <c:v>9194.1400481857982</c:v>
                </c:pt>
                <c:pt idx="4">
                  <c:v>42097.828931700453</c:v>
                </c:pt>
                <c:pt idx="5">
                  <c:v>32734.099827757425</c:v>
                </c:pt>
                <c:pt idx="6">
                  <c:v>266.81329126175535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14080"/>
      </c:barChart>
      <c:catAx>
        <c:axId val="183122176"/>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20943.162489246119</c:v>
                </c:pt>
                <c:pt idx="1">
                  <c:v>5802.2311650040619</c:v>
                </c:pt>
                <c:pt idx="2">
                  <c:v>167.7197492204707</c:v>
                </c:pt>
                <c:pt idx="3">
                  <c:v>9194.1400481857982</c:v>
                </c:pt>
                <c:pt idx="4">
                  <c:v>42097.828931700453</c:v>
                </c:pt>
                <c:pt idx="5">
                  <c:v>32734.099827757425</c:v>
                </c:pt>
                <c:pt idx="6">
                  <c:v>266.81329126175535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33037</v>
      </c>
      <c r="B6" s="415"/>
      <c r="C6" s="416"/>
    </row>
    <row r="7" spans="1:7" s="413" customFormat="1" ht="15.75" customHeight="1">
      <c r="A7" s="417" t="str">
        <f>txtMunicipality</f>
        <v>ZONNEBEKE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4933</v>
      </c>
      <c r="C9" s="342">
        <v>5337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5028.18</v>
      </c>
    </row>
    <row r="15" spans="1:6">
      <c r="A15" s="348" t="s">
        <v>184</v>
      </c>
      <c r="B15" s="334">
        <v>55</v>
      </c>
    </row>
    <row r="16" spans="1:6">
      <c r="A16" s="348" t="s">
        <v>6</v>
      </c>
      <c r="B16" s="334">
        <v>2015</v>
      </c>
    </row>
    <row r="17" spans="1:6">
      <c r="A17" s="348" t="s">
        <v>7</v>
      </c>
      <c r="B17" s="334">
        <v>1428</v>
      </c>
    </row>
    <row r="18" spans="1:6">
      <c r="A18" s="348" t="s">
        <v>8</v>
      </c>
      <c r="B18" s="334">
        <v>2027</v>
      </c>
    </row>
    <row r="19" spans="1:6">
      <c r="A19" s="348" t="s">
        <v>9</v>
      </c>
      <c r="B19" s="334">
        <v>1950</v>
      </c>
    </row>
    <row r="20" spans="1:6">
      <c r="A20" s="348" t="s">
        <v>10</v>
      </c>
      <c r="B20" s="334">
        <v>1312</v>
      </c>
    </row>
    <row r="21" spans="1:6">
      <c r="A21" s="348" t="s">
        <v>11</v>
      </c>
      <c r="B21" s="334">
        <v>25827</v>
      </c>
    </row>
    <row r="22" spans="1:6">
      <c r="A22" s="348" t="s">
        <v>12</v>
      </c>
      <c r="B22" s="334">
        <v>67428</v>
      </c>
    </row>
    <row r="23" spans="1:6">
      <c r="A23" s="348" t="s">
        <v>13</v>
      </c>
      <c r="B23" s="334">
        <v>679</v>
      </c>
    </row>
    <row r="24" spans="1:6">
      <c r="A24" s="348" t="s">
        <v>14</v>
      </c>
      <c r="B24" s="334">
        <v>88</v>
      </c>
    </row>
    <row r="25" spans="1:6">
      <c r="A25" s="348" t="s">
        <v>15</v>
      </c>
      <c r="B25" s="334">
        <v>5117</v>
      </c>
    </row>
    <row r="26" spans="1:6">
      <c r="A26" s="348" t="s">
        <v>16</v>
      </c>
      <c r="B26" s="334">
        <v>905</v>
      </c>
    </row>
    <row r="27" spans="1:6">
      <c r="A27" s="348" t="s">
        <v>17</v>
      </c>
      <c r="B27" s="334">
        <v>9</v>
      </c>
    </row>
    <row r="28" spans="1:6" s="356" customFormat="1">
      <c r="A28" s="355" t="s">
        <v>18</v>
      </c>
      <c r="B28" s="355">
        <v>480749</v>
      </c>
    </row>
    <row r="29" spans="1:6">
      <c r="A29" s="355" t="s">
        <v>744</v>
      </c>
      <c r="B29" s="355">
        <v>317</v>
      </c>
      <c r="C29" s="356"/>
      <c r="D29" s="356"/>
      <c r="E29" s="356"/>
      <c r="F29" s="356"/>
    </row>
    <row r="30" spans="1:6">
      <c r="A30" s="341" t="s">
        <v>745</v>
      </c>
      <c r="B30" s="341">
        <v>45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11361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2600</v>
      </c>
      <c r="D39" s="334">
        <v>40439312.749500297</v>
      </c>
      <c r="E39" s="334">
        <v>4515</v>
      </c>
      <c r="F39" s="334">
        <v>16755588.8362024</v>
      </c>
    </row>
    <row r="40" spans="1:6">
      <c r="A40" s="348" t="s">
        <v>30</v>
      </c>
      <c r="B40" s="348" t="s">
        <v>29</v>
      </c>
      <c r="C40" s="334">
        <v>0</v>
      </c>
      <c r="D40" s="334">
        <v>0</v>
      </c>
      <c r="E40" s="334">
        <v>0</v>
      </c>
      <c r="F40" s="334">
        <v>0</v>
      </c>
    </row>
    <row r="41" spans="1:6">
      <c r="A41" s="348" t="s">
        <v>32</v>
      </c>
      <c r="B41" s="348" t="s">
        <v>33</v>
      </c>
      <c r="C41" s="334">
        <v>68</v>
      </c>
      <c r="D41" s="334">
        <v>1531197.6731376699</v>
      </c>
      <c r="E41" s="334">
        <v>150</v>
      </c>
      <c r="F41" s="334">
        <v>1500977.83033278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416991.91014465003</v>
      </c>
      <c r="E44" s="334">
        <v>17</v>
      </c>
      <c r="F44" s="334">
        <v>558061.05996757501</v>
      </c>
    </row>
    <row r="45" spans="1:6">
      <c r="A45" s="348" t="s">
        <v>32</v>
      </c>
      <c r="B45" s="348" t="s">
        <v>37</v>
      </c>
      <c r="C45" s="334">
        <v>0</v>
      </c>
      <c r="D45" s="334">
        <v>0</v>
      </c>
      <c r="E45" s="334">
        <v>7</v>
      </c>
      <c r="F45" s="334">
        <v>10509287.7888497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99460653.971796393</v>
      </c>
      <c r="E48" s="334">
        <v>31</v>
      </c>
      <c r="F48" s="334">
        <v>58415077.5084861</v>
      </c>
    </row>
    <row r="49" spans="1:6">
      <c r="A49" s="348" t="s">
        <v>32</v>
      </c>
      <c r="B49" s="348" t="s">
        <v>40</v>
      </c>
      <c r="C49" s="334">
        <v>0</v>
      </c>
      <c r="D49" s="334">
        <v>0</v>
      </c>
      <c r="E49" s="334">
        <v>4</v>
      </c>
      <c r="F49" s="334">
        <v>14266671.0026346</v>
      </c>
    </row>
    <row r="50" spans="1:6">
      <c r="A50" s="348" t="s">
        <v>32</v>
      </c>
      <c r="B50" s="348" t="s">
        <v>41</v>
      </c>
      <c r="C50" s="334">
        <v>9</v>
      </c>
      <c r="D50" s="334">
        <v>367306.850506127</v>
      </c>
      <c r="E50" s="334">
        <v>8</v>
      </c>
      <c r="F50" s="334">
        <v>269641.39453612198</v>
      </c>
    </row>
    <row r="51" spans="1:6">
      <c r="A51" s="348" t="s">
        <v>42</v>
      </c>
      <c r="B51" s="348" t="s">
        <v>43</v>
      </c>
      <c r="C51" s="334">
        <v>21</v>
      </c>
      <c r="D51" s="334">
        <v>1818114.06812758</v>
      </c>
      <c r="E51" s="334">
        <v>248</v>
      </c>
      <c r="F51" s="334">
        <v>6229206.1255510002</v>
      </c>
    </row>
    <row r="52" spans="1:6">
      <c r="A52" s="348" t="s">
        <v>42</v>
      </c>
      <c r="B52" s="348" t="s">
        <v>29</v>
      </c>
      <c r="C52" s="334">
        <v>6</v>
      </c>
      <c r="D52" s="334">
        <v>329602.91778853099</v>
      </c>
      <c r="E52" s="334">
        <v>2</v>
      </c>
      <c r="F52" s="334">
        <v>2953.7017244903</v>
      </c>
    </row>
    <row r="53" spans="1:6">
      <c r="A53" s="348" t="s">
        <v>44</v>
      </c>
      <c r="B53" s="348" t="s">
        <v>45</v>
      </c>
      <c r="C53" s="334">
        <v>70</v>
      </c>
      <c r="D53" s="334">
        <v>1172604.3175674099</v>
      </c>
      <c r="E53" s="334">
        <v>175</v>
      </c>
      <c r="F53" s="334">
        <v>653796.65029330901</v>
      </c>
    </row>
    <row r="54" spans="1:6">
      <c r="A54" s="348" t="s">
        <v>46</v>
      </c>
      <c r="B54" s="348" t="s">
        <v>47</v>
      </c>
      <c r="C54" s="334">
        <v>0</v>
      </c>
      <c r="D54" s="334">
        <v>0</v>
      </c>
      <c r="E54" s="334">
        <v>1</v>
      </c>
      <c r="F54" s="334">
        <v>806603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2704353.83657338</v>
      </c>
      <c r="E57" s="334">
        <v>100</v>
      </c>
      <c r="F57" s="334">
        <v>4918003.83420482</v>
      </c>
    </row>
    <row r="58" spans="1:6">
      <c r="A58" s="348" t="s">
        <v>49</v>
      </c>
      <c r="B58" s="348" t="s">
        <v>51</v>
      </c>
      <c r="C58" s="334">
        <v>13</v>
      </c>
      <c r="D58" s="334">
        <v>451777.72297411598</v>
      </c>
      <c r="E58" s="334">
        <v>28</v>
      </c>
      <c r="F58" s="334">
        <v>128889.711593238</v>
      </c>
    </row>
    <row r="59" spans="1:6">
      <c r="A59" s="348" t="s">
        <v>49</v>
      </c>
      <c r="B59" s="348" t="s">
        <v>52</v>
      </c>
      <c r="C59" s="334">
        <v>29</v>
      </c>
      <c r="D59" s="334">
        <v>795100.89144980605</v>
      </c>
      <c r="E59" s="334">
        <v>129</v>
      </c>
      <c r="F59" s="334">
        <v>2751416.6965064099</v>
      </c>
    </row>
    <row r="60" spans="1:6">
      <c r="A60" s="348" t="s">
        <v>49</v>
      </c>
      <c r="B60" s="348" t="s">
        <v>53</v>
      </c>
      <c r="C60" s="334">
        <v>25</v>
      </c>
      <c r="D60" s="334">
        <v>749816.07728495798</v>
      </c>
      <c r="E60" s="334">
        <v>58</v>
      </c>
      <c r="F60" s="334">
        <v>979958.93257074605</v>
      </c>
    </row>
    <row r="61" spans="1:6">
      <c r="A61" s="348" t="s">
        <v>49</v>
      </c>
      <c r="B61" s="348" t="s">
        <v>54</v>
      </c>
      <c r="C61" s="334">
        <v>42</v>
      </c>
      <c r="D61" s="334">
        <v>1077058.90669108</v>
      </c>
      <c r="E61" s="334">
        <v>114</v>
      </c>
      <c r="F61" s="334">
        <v>1229088.63852892</v>
      </c>
    </row>
    <row r="62" spans="1:6">
      <c r="A62" s="348" t="s">
        <v>49</v>
      </c>
      <c r="B62" s="348" t="s">
        <v>55</v>
      </c>
      <c r="C62" s="334">
        <v>3</v>
      </c>
      <c r="D62" s="334">
        <v>387626.31174991798</v>
      </c>
      <c r="E62" s="334">
        <v>3</v>
      </c>
      <c r="F62" s="334">
        <v>82886.047111954802</v>
      </c>
    </row>
    <row r="63" spans="1:6">
      <c r="A63" s="348" t="s">
        <v>49</v>
      </c>
      <c r="B63" s="348" t="s">
        <v>29</v>
      </c>
      <c r="C63" s="334">
        <v>78</v>
      </c>
      <c r="D63" s="334">
        <v>6243419.2650215402</v>
      </c>
      <c r="E63" s="334">
        <v>97</v>
      </c>
      <c r="F63" s="334">
        <v>3230768.1870757602</v>
      </c>
    </row>
    <row r="64" spans="1:6">
      <c r="A64" s="348" t="s">
        <v>56</v>
      </c>
      <c r="B64" s="348" t="s">
        <v>57</v>
      </c>
      <c r="C64" s="334">
        <v>0</v>
      </c>
      <c r="D64" s="334">
        <v>0</v>
      </c>
      <c r="E64" s="334">
        <v>0</v>
      </c>
      <c r="F64" s="334">
        <v>0</v>
      </c>
    </row>
    <row r="65" spans="1:6">
      <c r="A65" s="348" t="s">
        <v>56</v>
      </c>
      <c r="B65" s="348" t="s">
        <v>29</v>
      </c>
      <c r="C65" s="334">
        <v>1</v>
      </c>
      <c r="D65" s="334">
        <v>37369.896862485002</v>
      </c>
      <c r="E65" s="334">
        <v>5</v>
      </c>
      <c r="F65" s="334">
        <v>28149.665006998501</v>
      </c>
    </row>
    <row r="66" spans="1:6">
      <c r="A66" s="348" t="s">
        <v>56</v>
      </c>
      <c r="B66" s="348" t="s">
        <v>58</v>
      </c>
      <c r="C66" s="334">
        <v>0</v>
      </c>
      <c r="D66" s="334">
        <v>0</v>
      </c>
      <c r="E66" s="334">
        <v>8</v>
      </c>
      <c r="F66" s="334">
        <v>180286.114776195</v>
      </c>
    </row>
    <row r="67" spans="1:6">
      <c r="A67" s="355" t="s">
        <v>56</v>
      </c>
      <c r="B67" s="355" t="s">
        <v>59</v>
      </c>
      <c r="C67" s="334">
        <v>0</v>
      </c>
      <c r="D67" s="334">
        <v>0</v>
      </c>
      <c r="E67" s="334">
        <v>0</v>
      </c>
      <c r="F67" s="334">
        <v>0</v>
      </c>
    </row>
    <row r="68" spans="1:6">
      <c r="A68" s="341" t="s">
        <v>56</v>
      </c>
      <c r="B68" s="341" t="s">
        <v>60</v>
      </c>
      <c r="C68" s="334">
        <v>5</v>
      </c>
      <c r="D68" s="334">
        <v>144428.79917576301</v>
      </c>
      <c r="E68" s="334">
        <v>22</v>
      </c>
      <c r="F68" s="334">
        <v>213188.693868684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39891567</v>
      </c>
      <c r="E73" s="476">
        <v>43053589.514953502</v>
      </c>
    </row>
    <row r="74" spans="1:6">
      <c r="A74" s="348" t="s">
        <v>64</v>
      </c>
      <c r="B74" s="348" t="s">
        <v>657</v>
      </c>
      <c r="C74" s="1213" t="s">
        <v>659</v>
      </c>
      <c r="D74" s="476">
        <v>5383356.9021936571</v>
      </c>
      <c r="E74" s="476">
        <v>5552210.8976107081</v>
      </c>
    </row>
    <row r="75" spans="1:6">
      <c r="A75" s="348" t="s">
        <v>65</v>
      </c>
      <c r="B75" s="348" t="s">
        <v>656</v>
      </c>
      <c r="C75" s="1213" t="s">
        <v>660</v>
      </c>
      <c r="D75" s="476">
        <v>18643594</v>
      </c>
      <c r="E75" s="476">
        <v>17588396.358399976</v>
      </c>
    </row>
    <row r="76" spans="1:6">
      <c r="A76" s="348" t="s">
        <v>65</v>
      </c>
      <c r="B76" s="348" t="s">
        <v>657</v>
      </c>
      <c r="C76" s="1213" t="s">
        <v>661</v>
      </c>
      <c r="D76" s="476">
        <v>916948.90219365677</v>
      </c>
      <c r="E76" s="476">
        <v>882158.4544367058</v>
      </c>
    </row>
    <row r="77" spans="1:6">
      <c r="A77" s="348" t="s">
        <v>66</v>
      </c>
      <c r="B77" s="348" t="s">
        <v>656</v>
      </c>
      <c r="C77" s="1213" t="s">
        <v>662</v>
      </c>
      <c r="D77" s="476">
        <v>66056983</v>
      </c>
      <c r="E77" s="476">
        <v>74475275.149950147</v>
      </c>
    </row>
    <row r="78" spans="1:6">
      <c r="A78" s="341" t="s">
        <v>66</v>
      </c>
      <c r="B78" s="341" t="s">
        <v>657</v>
      </c>
      <c r="C78" s="341" t="s">
        <v>663</v>
      </c>
      <c r="D78" s="1214">
        <v>10688305</v>
      </c>
      <c r="E78" s="1214">
        <v>11681004.559879586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286420.19561268651</v>
      </c>
      <c r="C83" s="476">
        <v>286180.48150023661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4131.0440948725027</v>
      </c>
    </row>
    <row r="92" spans="1:6">
      <c r="A92" s="341" t="s">
        <v>69</v>
      </c>
      <c r="B92" s="342">
        <v>3325.7854647264508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0</v>
      </c>
    </row>
    <row r="99" spans="1:6">
      <c r="A99" s="348" t="s">
        <v>73</v>
      </c>
      <c r="B99" s="334">
        <v>212</v>
      </c>
    </row>
    <row r="100" spans="1:6">
      <c r="A100" s="348" t="s">
        <v>74</v>
      </c>
      <c r="B100" s="334">
        <v>316</v>
      </c>
    </row>
    <row r="101" spans="1:6">
      <c r="A101" s="348" t="s">
        <v>75</v>
      </c>
      <c r="B101" s="334">
        <v>182</v>
      </c>
    </row>
    <row r="102" spans="1:6">
      <c r="A102" s="348" t="s">
        <v>76</v>
      </c>
      <c r="B102" s="334">
        <v>54</v>
      </c>
    </row>
    <row r="103" spans="1:6">
      <c r="A103" s="348" t="s">
        <v>77</v>
      </c>
      <c r="B103" s="334">
        <v>291</v>
      </c>
    </row>
    <row r="104" spans="1:6">
      <c r="A104" s="348" t="s">
        <v>78</v>
      </c>
      <c r="B104" s="334">
        <v>1851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36</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244</v>
      </c>
    </row>
    <row r="130" spans="1:6">
      <c r="A130" s="348" t="s">
        <v>295</v>
      </c>
      <c r="B130" s="334">
        <v>2</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126858.78935303116</v>
      </c>
      <c r="C3" s="43" t="s">
        <v>170</v>
      </c>
      <c r="D3" s="43"/>
      <c r="E3" s="154"/>
      <c r="F3" s="43"/>
      <c r="G3" s="43"/>
      <c r="H3" s="43"/>
      <c r="I3" s="43"/>
      <c r="J3" s="43"/>
      <c r="K3" s="96"/>
    </row>
    <row r="4" spans="1:11">
      <c r="A4" s="383" t="s">
        <v>171</v>
      </c>
      <c r="B4" s="49">
        <f>IF(ISERROR('SEAP template'!B69),0,'SEAP template'!B69)</f>
        <v>7500.4795595989526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0.20793345576506747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806.60299999999995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806.60299999999995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0.20793345576506747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167.7197492204707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16755.588836202402</v>
      </c>
      <c r="C5" s="17">
        <f>IF(ISERROR('Eigen informatie GS &amp; warmtenet'!B57),0,'Eigen informatie GS &amp; warmtenet'!B57)</f>
        <v>0</v>
      </c>
      <c r="D5" s="30">
        <f>(SUM(HH_hh_gas_kWh,HH_rest_gas_kWh)/1000)*0.902</f>
        <v>36476.260100049272</v>
      </c>
      <c r="E5" s="17">
        <f>B46*B57</f>
        <v>8743.6144641126357</v>
      </c>
      <c r="F5" s="17">
        <f>B51*B62</f>
        <v>19284.184719248686</v>
      </c>
      <c r="G5" s="18"/>
      <c r="H5" s="17"/>
      <c r="I5" s="17"/>
      <c r="J5" s="17">
        <f>B50*B61+C50*C61</f>
        <v>5927.260963243868</v>
      </c>
      <c r="K5" s="17"/>
      <c r="L5" s="17"/>
      <c r="M5" s="17"/>
      <c r="N5" s="17">
        <f>B48*B59+C48*C59</f>
        <v>25581.098795772341</v>
      </c>
      <c r="O5" s="17">
        <f>B69*B70*B71</f>
        <v>445.55</v>
      </c>
      <c r="P5" s="17">
        <f>B77*B78*B79/1000-B77*B78*B79/1000/B80</f>
        <v>705.4666666666667</v>
      </c>
    </row>
    <row r="6" spans="1:16">
      <c r="A6" s="16" t="s">
        <v>621</v>
      </c>
      <c r="B6" s="843">
        <f>kWh_PV_kleiner_dan_10kW</f>
        <v>4131.0440948725027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20886.632931074906</v>
      </c>
      <c r="C8" s="21">
        <f>C5</f>
        <v>0</v>
      </c>
      <c r="D8" s="21">
        <f>D5</f>
        <v>36476.260100049272</v>
      </c>
      <c r="E8" s="21">
        <f>E5</f>
        <v>8743.6144641126357</v>
      </c>
      <c r="F8" s="21">
        <f>F5</f>
        <v>19284.184719248686</v>
      </c>
      <c r="G8" s="21"/>
      <c r="H8" s="21"/>
      <c r="I8" s="21"/>
      <c r="J8" s="21">
        <f>J5</f>
        <v>5927.260963243868</v>
      </c>
      <c r="K8" s="21"/>
      <c r="L8" s="21">
        <f>L5</f>
        <v>0</v>
      </c>
      <c r="M8" s="21">
        <f>M5</f>
        <v>0</v>
      </c>
      <c r="N8" s="21">
        <f>N5</f>
        <v>25581.098795772341</v>
      </c>
      <c r="O8" s="21">
        <f>O5</f>
        <v>445.55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0.20793345576506747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4343.0297646548652</v>
      </c>
      <c r="C12" s="23">
        <f ca="1">C10*C8</f>
        <v>0</v>
      </c>
      <c r="D12" s="23">
        <f>D8*D10</f>
        <v>7368.2045402099538</v>
      </c>
      <c r="E12" s="23">
        <f>E10*E8</f>
        <v>1984.8004833535683</v>
      </c>
      <c r="F12" s="23">
        <f>F10*F8</f>
        <v>5148.8773200393998</v>
      </c>
      <c r="G12" s="23"/>
      <c r="H12" s="23"/>
      <c r="I12" s="23"/>
      <c r="J12" s="23">
        <f>J10*J8</f>
        <v>2098.2503809883292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0</v>
      </c>
      <c r="C19" s="166" t="s">
        <v>111</v>
      </c>
      <c r="D19" s="229"/>
      <c r="E19" s="15"/>
    </row>
    <row r="20" spans="1:7">
      <c r="A20" s="171" t="s">
        <v>73</v>
      </c>
      <c r="B20" s="37">
        <f>aantalw2001_propaan</f>
        <v>212</v>
      </c>
      <c r="C20" s="167">
        <f>IF(ISERROR(B20/SUM($B$20,$B$21,$B$22)*100),0,B20/SUM($B$20,$B$21,$B$22)*100)</f>
        <v>29.859154929577464</v>
      </c>
      <c r="D20" s="229"/>
      <c r="E20" s="15"/>
    </row>
    <row r="21" spans="1:7">
      <c r="A21" s="171" t="s">
        <v>74</v>
      </c>
      <c r="B21" s="37">
        <f>aantalw2001_elektriciteit</f>
        <v>316</v>
      </c>
      <c r="C21" s="167">
        <f>IF(ISERROR(B21/SUM($B$20,$B$21,$B$22)*100),0,B21/SUM($B$20,$B$21,$B$22)*100)</f>
        <v>44.507042253521128</v>
      </c>
      <c r="D21" s="229"/>
      <c r="E21" s="15"/>
    </row>
    <row r="22" spans="1:7">
      <c r="A22" s="171" t="s">
        <v>75</v>
      </c>
      <c r="B22" s="37">
        <f>aantalw2001_hout</f>
        <v>182</v>
      </c>
      <c r="C22" s="167">
        <f>IF(ISERROR(B22/SUM($B$20,$B$21,$B$22)*100),0,B22/SUM($B$20,$B$21,$B$22)*100)</f>
        <v>25.633802816901408</v>
      </c>
      <c r="D22" s="229"/>
      <c r="E22" s="15"/>
    </row>
    <row r="23" spans="1:7">
      <c r="A23" s="171" t="s">
        <v>76</v>
      </c>
      <c r="B23" s="37">
        <f>aantalw2001_niet_gespec</f>
        <v>54</v>
      </c>
      <c r="C23" s="166" t="s">
        <v>111</v>
      </c>
      <c r="D23" s="228"/>
      <c r="E23" s="15"/>
    </row>
    <row r="24" spans="1:7">
      <c r="A24" s="171" t="s">
        <v>77</v>
      </c>
      <c r="B24" s="37">
        <f>aantalw2001_steenkool</f>
        <v>291</v>
      </c>
      <c r="C24" s="166" t="s">
        <v>111</v>
      </c>
      <c r="D24" s="229"/>
      <c r="E24" s="15"/>
    </row>
    <row r="25" spans="1:7">
      <c r="A25" s="171" t="s">
        <v>78</v>
      </c>
      <c r="B25" s="37">
        <f>aantalw2001_stookolie</f>
        <v>1851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4933</v>
      </c>
      <c r="C28" s="36"/>
      <c r="D28" s="228"/>
    </row>
    <row r="29" spans="1:7" s="15" customFormat="1">
      <c r="A29" s="230" t="s">
        <v>795</v>
      </c>
      <c r="B29" s="37">
        <f>SUM(HH_hh_gas_aantal,HH_rest_gas_aantal)</f>
        <v>2600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2600</v>
      </c>
      <c r="C32" s="167">
        <f>IF(ISERROR(B32/SUM($B$32,$B$34,$B$35,$B$36,$B$38,$B$39)*100),0,B32/SUM($B$32,$B$34,$B$35,$B$36,$B$38,$B$39)*100)</f>
        <v>53.104575163398692</v>
      </c>
      <c r="D32" s="233"/>
      <c r="G32" s="15"/>
    </row>
    <row r="33" spans="1:7">
      <c r="A33" s="171" t="s">
        <v>72</v>
      </c>
      <c r="B33" s="34" t="s">
        <v>111</v>
      </c>
      <c r="C33" s="167"/>
      <c r="D33" s="233"/>
      <c r="G33" s="15"/>
    </row>
    <row r="34" spans="1:7">
      <c r="A34" s="171" t="s">
        <v>73</v>
      </c>
      <c r="B34" s="33">
        <f>IF((($B$28-$B$32-$B$39-$B$77-$B$38)*C20/100)&lt;0,0,($B$28-$B$32-$B$39-$B$77-$B$38)*C20/100)</f>
        <v>412.9521126760564</v>
      </c>
      <c r="C34" s="167">
        <f>IF(ISERROR(B34/SUM($B$32,$B$34,$B$35,$B$36,$B$38,$B$39)*100),0,B34/SUM($B$32,$B$34,$B$35,$B$36,$B$38,$B$39)*100)</f>
        <v>8.4344794255730484</v>
      </c>
      <c r="D34" s="233"/>
      <c r="G34" s="15"/>
    </row>
    <row r="35" spans="1:7">
      <c r="A35" s="171" t="s">
        <v>74</v>
      </c>
      <c r="B35" s="33">
        <f>IF((($B$28-$B$32-$B$39-$B$77-$B$38)*C21/100)&lt;0,0,($B$28-$B$32-$B$39-$B$77-$B$38)*C21/100)</f>
        <v>615.53239436619731</v>
      </c>
      <c r="C35" s="167">
        <f>IF(ISERROR(B35/SUM($B$32,$B$34,$B$35,$B$36,$B$38,$B$39)*100),0,B35/SUM($B$32,$B$34,$B$35,$B$36,$B$38,$B$39)*100)</f>
        <v>12.572148577740958</v>
      </c>
      <c r="D35" s="233"/>
      <c r="G35" s="15"/>
    </row>
    <row r="36" spans="1:7">
      <c r="A36" s="171" t="s">
        <v>75</v>
      </c>
      <c r="B36" s="33">
        <f>IF((($B$28-$B$32-$B$39-$B$77-$B$38)*C22/100)&lt;0,0,($B$28-$B$32-$B$39-$B$77-$B$38)*C22/100)</f>
        <v>354.51549295774652</v>
      </c>
      <c r="C36" s="167">
        <f>IF(ISERROR(B36/SUM($B$32,$B$34,$B$35,$B$36,$B$38,$B$39)*100),0,B36/SUM($B$32,$B$34,$B$35,$B$36,$B$38,$B$39)*100)</f>
        <v>7.2409210162938429</v>
      </c>
      <c r="D36" s="233"/>
      <c r="G36" s="15"/>
    </row>
    <row r="37" spans="1:7">
      <c r="A37" s="171" t="s">
        <v>76</v>
      </c>
      <c r="B37" s="34" t="s">
        <v>111</v>
      </c>
      <c r="C37" s="167"/>
      <c r="D37" s="173"/>
      <c r="G37" s="15"/>
    </row>
    <row r="38" spans="1:7">
      <c r="A38" s="171" t="s">
        <v>77</v>
      </c>
      <c r="B38" s="33">
        <f>IF((B24-(B29-B18)*0.1)&lt;0,0,B24-(B29-B18)*0.1)</f>
        <v>168.1</v>
      </c>
      <c r="C38" s="167">
        <f>IF(ISERROR(B38/SUM($B$32,$B$34,$B$35,$B$36,$B$38,$B$39)*100),0,B38/SUM($B$32,$B$34,$B$35,$B$36,$B$38,$B$39)*100)</f>
        <v>3.4334150326797381</v>
      </c>
      <c r="D38" s="234"/>
      <c r="G38" s="15"/>
    </row>
    <row r="39" spans="1:7">
      <c r="A39" s="171" t="s">
        <v>78</v>
      </c>
      <c r="B39" s="33">
        <f>IF((B25-(B29-B18))&lt;0,0,B25-(B29-B18)*0.9)</f>
        <v>744.89999999999986</v>
      </c>
      <c r="C39" s="167">
        <f>IF(ISERROR(B39/SUM($B$32,$B$34,$B$35,$B$36,$B$38,$B$39)*100),0,B39/SUM($B$32,$B$34,$B$35,$B$36,$B$38,$B$39)*100)</f>
        <v>15.214460784313722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2600</v>
      </c>
      <c r="C44" s="34" t="s">
        <v>111</v>
      </c>
      <c r="D44" s="174"/>
    </row>
    <row r="45" spans="1:7">
      <c r="A45" s="171" t="s">
        <v>72</v>
      </c>
      <c r="B45" s="33" t="str">
        <f t="shared" si="0"/>
        <v>-</v>
      </c>
      <c r="C45" s="34" t="s">
        <v>111</v>
      </c>
      <c r="D45" s="174"/>
    </row>
    <row r="46" spans="1:7">
      <c r="A46" s="171" t="s">
        <v>73</v>
      </c>
      <c r="B46" s="33">
        <f t="shared" si="0"/>
        <v>412.9521126760564</v>
      </c>
      <c r="C46" s="34" t="s">
        <v>111</v>
      </c>
      <c r="D46" s="174"/>
    </row>
    <row r="47" spans="1:7">
      <c r="A47" s="171" t="s">
        <v>74</v>
      </c>
      <c r="B47" s="33">
        <f t="shared" si="0"/>
        <v>615.53239436619731</v>
      </c>
      <c r="C47" s="34" t="s">
        <v>111</v>
      </c>
      <c r="D47" s="174"/>
    </row>
    <row r="48" spans="1:7">
      <c r="A48" s="171" t="s">
        <v>75</v>
      </c>
      <c r="B48" s="33">
        <f t="shared" si="0"/>
        <v>354.51549295774652</v>
      </c>
      <c r="C48" s="33">
        <f>B48*10</f>
        <v>3545.1549295774653</v>
      </c>
      <c r="D48" s="234"/>
    </row>
    <row r="49" spans="1:6">
      <c r="A49" s="171" t="s">
        <v>76</v>
      </c>
      <c r="B49" s="33" t="str">
        <f t="shared" si="0"/>
        <v>-</v>
      </c>
      <c r="C49" s="34" t="s">
        <v>111</v>
      </c>
      <c r="D49" s="234"/>
    </row>
    <row r="50" spans="1:6">
      <c r="A50" s="171" t="s">
        <v>77</v>
      </c>
      <c r="B50" s="33">
        <f t="shared" si="0"/>
        <v>168.1</v>
      </c>
      <c r="C50" s="33">
        <f>B50*2</f>
        <v>336.2</v>
      </c>
      <c r="D50" s="234"/>
    </row>
    <row r="51" spans="1:6">
      <c r="A51" s="171" t="s">
        <v>78</v>
      </c>
      <c r="B51" s="33">
        <f t="shared" si="0"/>
        <v>744.89999999999986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13321.01204759185</v>
      </c>
      <c r="C5" s="17">
        <f>IF(ISERROR('Eigen informatie GS &amp; warmtenet'!B58),0,'Eigen informatie GS &amp; warmtenet'!B58)</f>
        <v>0</v>
      </c>
      <c r="D5" s="30">
        <f>SUM(D6:D12)</f>
        <v>11193.056016593808</v>
      </c>
      <c r="E5" s="17">
        <f>SUM(E6:E12)</f>
        <v>161.07449041207198</v>
      </c>
      <c r="F5" s="17">
        <f>SUM(F6:F12)</f>
        <v>2717.8614848483348</v>
      </c>
      <c r="G5" s="18"/>
      <c r="H5" s="17"/>
      <c r="I5" s="17"/>
      <c r="J5" s="17">
        <f>SUM(J6:J12)</f>
        <v>0.11457397189620497</v>
      </c>
      <c r="K5" s="17"/>
      <c r="L5" s="17"/>
      <c r="M5" s="17"/>
      <c r="N5" s="17">
        <f>SUM(N6:N12)</f>
        <v>4496.5813415375032</v>
      </c>
      <c r="O5" s="17">
        <f>B38*B39*B40</f>
        <v>3.1266666666666669</v>
      </c>
      <c r="P5" s="17">
        <f>B46*B47*B48/1000-B46*B47*B48/1000/B49</f>
        <v>19.066666666666666</v>
      </c>
      <c r="R5" s="32"/>
    </row>
    <row r="6" spans="1:18">
      <c r="A6" s="32" t="s">
        <v>54</v>
      </c>
      <c r="B6" s="37">
        <f>B26</f>
        <v>1229.08863852892</v>
      </c>
      <c r="C6" s="33"/>
      <c r="D6" s="37">
        <f>IF(ISERROR(TER_kantoor_gas_kWh/1000),0,TER_kantoor_gas_kWh/1000)*0.902</f>
        <v>971.50713383535413</v>
      </c>
      <c r="E6" s="33">
        <f>$C$26*'E Balans VL '!I12/100/3.6*1000000</f>
        <v>7.7035187978223441E-3</v>
      </c>
      <c r="F6" s="33">
        <f>$C$26*('E Balans VL '!L12+'E Balans VL '!N12)/100/3.6*1000000</f>
        <v>184.69767835881851</v>
      </c>
      <c r="G6" s="34"/>
      <c r="H6" s="33"/>
      <c r="I6" s="33"/>
      <c r="J6" s="33">
        <f>$C$26*('E Balans VL '!D12+'E Balans VL '!E12)/100/3.6*1000000</f>
        <v>0</v>
      </c>
      <c r="K6" s="33"/>
      <c r="L6" s="33"/>
      <c r="M6" s="33"/>
      <c r="N6" s="33">
        <f>$C$26*'E Balans VL '!Y12/100/3.6*1000000</f>
        <v>1.1754410503633084</v>
      </c>
      <c r="O6" s="33"/>
      <c r="P6" s="33"/>
      <c r="R6" s="32"/>
    </row>
    <row r="7" spans="1:18">
      <c r="A7" s="32" t="s">
        <v>53</v>
      </c>
      <c r="B7" s="37">
        <f t="shared" ref="B7:B12" si="0">B27</f>
        <v>979.95893257074601</v>
      </c>
      <c r="C7" s="33"/>
      <c r="D7" s="37">
        <f>IF(ISERROR(TER_horeca_gas_kWh/1000),0,TER_horeca_gas_kWh/1000)*0.902</f>
        <v>676.33410171103208</v>
      </c>
      <c r="E7" s="33">
        <f>$C$27*'E Balans VL '!I9/100/3.6*1000000</f>
        <v>14.032848684415212</v>
      </c>
      <c r="F7" s="33">
        <f>$C$27*('E Balans VL '!L9+'E Balans VL '!N9)/100/3.6*1000000</f>
        <v>124.09512115421975</v>
      </c>
      <c r="G7" s="34"/>
      <c r="H7" s="33"/>
      <c r="I7" s="33"/>
      <c r="J7" s="33">
        <f>$C$27*('E Balans VL '!D9+'E Balans VL '!E9)/100/3.6*1000000</f>
        <v>0</v>
      </c>
      <c r="K7" s="33"/>
      <c r="L7" s="33"/>
      <c r="M7" s="33"/>
      <c r="N7" s="33">
        <f>$C$27*'E Balans VL '!Y9/100/3.6*1000000</f>
        <v>0.28171658687429868</v>
      </c>
      <c r="O7" s="33"/>
      <c r="P7" s="33"/>
      <c r="R7" s="32"/>
    </row>
    <row r="8" spans="1:18">
      <c r="A8" s="6" t="s">
        <v>52</v>
      </c>
      <c r="B8" s="37">
        <f t="shared" si="0"/>
        <v>2751.4166965064101</v>
      </c>
      <c r="C8" s="33"/>
      <c r="D8" s="37">
        <f>IF(ISERROR(TER_handel_gas_kWh/1000),0,TER_handel_gas_kWh/1000)*0.902</f>
        <v>717.181004087725</v>
      </c>
      <c r="E8" s="33">
        <f>$C$28*'E Balans VL '!I13/100/3.6*1000000</f>
        <v>99.793544292781206</v>
      </c>
      <c r="F8" s="33">
        <f>$C$28*('E Balans VL '!L13+'E Balans VL '!N13)/100/3.6*1000000</f>
        <v>529.95071561246175</v>
      </c>
      <c r="G8" s="34"/>
      <c r="H8" s="33"/>
      <c r="I8" s="33"/>
      <c r="J8" s="33">
        <f>$C$28*('E Balans VL '!D13+'E Balans VL '!E13)/100/3.6*1000000</f>
        <v>0</v>
      </c>
      <c r="K8" s="33"/>
      <c r="L8" s="33"/>
      <c r="M8" s="33"/>
      <c r="N8" s="33">
        <f>$C$28*'E Balans VL '!Y13/100/3.6*1000000</f>
        <v>3.8113451974090462</v>
      </c>
      <c r="O8" s="33"/>
      <c r="P8" s="33"/>
      <c r="R8" s="32"/>
    </row>
    <row r="9" spans="1:18">
      <c r="A9" s="32" t="s">
        <v>51</v>
      </c>
      <c r="B9" s="37">
        <f t="shared" si="0"/>
        <v>128.88971159323799</v>
      </c>
      <c r="C9" s="33"/>
      <c r="D9" s="37">
        <f>IF(ISERROR(TER_gezond_gas_kWh/1000),0,TER_gezond_gas_kWh/1000)*0.902</f>
        <v>407.50350612265265</v>
      </c>
      <c r="E9" s="33">
        <f>$C$29*'E Balans VL '!I10/100/3.6*1000000</f>
        <v>8.0697685017381456E-3</v>
      </c>
      <c r="F9" s="33">
        <f>$C$29*('E Balans VL '!L10+'E Balans VL '!N10)/100/3.6*1000000</f>
        <v>19.146959088974075</v>
      </c>
      <c r="G9" s="34"/>
      <c r="H9" s="33"/>
      <c r="I9" s="33"/>
      <c r="J9" s="33">
        <f>$C$29*('E Balans VL '!D10+'E Balans VL '!E10)/100/3.6*1000000</f>
        <v>0</v>
      </c>
      <c r="K9" s="33"/>
      <c r="L9" s="33"/>
      <c r="M9" s="33"/>
      <c r="N9" s="33">
        <f>$C$29*'E Balans VL '!Y10/100/3.6*1000000</f>
        <v>1.9936784957182747</v>
      </c>
      <c r="O9" s="33"/>
      <c r="P9" s="33"/>
      <c r="R9" s="32"/>
    </row>
    <row r="10" spans="1:18">
      <c r="A10" s="32" t="s">
        <v>50</v>
      </c>
      <c r="B10" s="37">
        <f t="shared" si="0"/>
        <v>4918.0038342048201</v>
      </c>
      <c r="C10" s="33"/>
      <c r="D10" s="37">
        <f>IF(ISERROR(TER_ander_gas_kWh/1000),0,TER_ander_gas_kWh/1000)*0.902</f>
        <v>2439.3271605891891</v>
      </c>
      <c r="E10" s="33">
        <f>$C$30*'E Balans VL '!I14/100/3.6*1000000</f>
        <v>5.8620848306099127</v>
      </c>
      <c r="F10" s="33">
        <f>$C$30*('E Balans VL '!L14+'E Balans VL '!N14)/100/3.6*1000000</f>
        <v>1286.7684403059907</v>
      </c>
      <c r="G10" s="34"/>
      <c r="H10" s="33"/>
      <c r="I10" s="33"/>
      <c r="J10" s="33">
        <f>$C$30*('E Balans VL '!D14+'E Balans VL '!E14)/100/3.6*1000000</f>
        <v>0.10675058519786108</v>
      </c>
      <c r="K10" s="33"/>
      <c r="L10" s="33"/>
      <c r="M10" s="33"/>
      <c r="N10" s="33">
        <f>$C$30*'E Balans VL '!Y14/100/3.6*1000000</f>
        <v>4176.2485141468424</v>
      </c>
      <c r="O10" s="33"/>
      <c r="P10" s="33"/>
      <c r="R10" s="32"/>
    </row>
    <row r="11" spans="1:18">
      <c r="A11" s="32" t="s">
        <v>55</v>
      </c>
      <c r="B11" s="37">
        <f t="shared" si="0"/>
        <v>82.886047111954795</v>
      </c>
      <c r="C11" s="33"/>
      <c r="D11" s="37">
        <f>IF(ISERROR(TER_onderwijs_gas_kWh/1000),0,TER_onderwijs_gas_kWh/1000)*0.902</f>
        <v>349.63893319842606</v>
      </c>
      <c r="E11" s="33">
        <f>$C$31*'E Balans VL '!I11/100/3.6*1000000</f>
        <v>1.2506169502459858</v>
      </c>
      <c r="F11" s="33">
        <f>$C$31*('E Balans VL '!L11+'E Balans VL '!N11)/100/3.6*1000000</f>
        <v>14.522959598009933</v>
      </c>
      <c r="G11" s="34"/>
      <c r="H11" s="33"/>
      <c r="I11" s="33"/>
      <c r="J11" s="33">
        <f>$C$31*('E Balans VL '!D11+'E Balans VL '!E11)/100/3.6*1000000</f>
        <v>0</v>
      </c>
      <c r="K11" s="33"/>
      <c r="L11" s="33"/>
      <c r="M11" s="33"/>
      <c r="N11" s="33">
        <f>$C$31*'E Balans VL '!Y11/100/3.6*1000000</f>
        <v>0.23324763781030516</v>
      </c>
      <c r="O11" s="33"/>
      <c r="P11" s="33"/>
      <c r="R11" s="32"/>
    </row>
    <row r="12" spans="1:18">
      <c r="A12" s="32" t="s">
        <v>260</v>
      </c>
      <c r="B12" s="37">
        <f t="shared" si="0"/>
        <v>3230.7681870757601</v>
      </c>
      <c r="C12" s="33"/>
      <c r="D12" s="37">
        <f>IF(ISERROR(TER_rest_gas_kWh/1000),0,TER_rest_gas_kWh/1000)*0.902</f>
        <v>5631.5641770494294</v>
      </c>
      <c r="E12" s="33">
        <f>$C$32*'E Balans VL '!I8/100/3.6*1000000</f>
        <v>40.119622366720087</v>
      </c>
      <c r="F12" s="33">
        <f>$C$32*('E Balans VL '!L8+'E Balans VL '!N8)/100/3.6*1000000</f>
        <v>558.67961072985997</v>
      </c>
      <c r="G12" s="34"/>
      <c r="H12" s="33"/>
      <c r="I12" s="33"/>
      <c r="J12" s="33">
        <f>$C$32*('E Balans VL '!D8+'E Balans VL '!E8)/100/3.6*1000000</f>
        <v>7.8233866983438895E-3</v>
      </c>
      <c r="K12" s="33"/>
      <c r="L12" s="33"/>
      <c r="M12" s="33"/>
      <c r="N12" s="33">
        <f>$C$32*'E Balans VL '!Y8/100/3.6*1000000</f>
        <v>312.83739842248508</v>
      </c>
      <c r="O12" s="33"/>
      <c r="P12" s="33"/>
      <c r="R12" s="32"/>
    </row>
    <row r="13" spans="1:18">
      <c r="A13" s="16" t="s">
        <v>488</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13364.66204759185</v>
      </c>
      <c r="C16" s="21">
        <f t="shared" ca="1" si="1"/>
        <v>62.357142857142847</v>
      </c>
      <c r="D16" s="21">
        <f t="shared" ca="1" si="1"/>
        <v>11193.056016593808</v>
      </c>
      <c r="E16" s="21">
        <f t="shared" si="1"/>
        <v>161.07449041207198</v>
      </c>
      <c r="F16" s="21">
        <f t="shared" ca="1" si="1"/>
        <v>2717.8614848483348</v>
      </c>
      <c r="G16" s="21">
        <f t="shared" si="1"/>
        <v>0</v>
      </c>
      <c r="H16" s="21">
        <f t="shared" si="1"/>
        <v>0</v>
      </c>
      <c r="I16" s="21">
        <f t="shared" si="1"/>
        <v>0</v>
      </c>
      <c r="J16" s="21">
        <f t="shared" si="1"/>
        <v>0.11457397189620497</v>
      </c>
      <c r="K16" s="21">
        <f t="shared" si="1"/>
        <v>0</v>
      </c>
      <c r="L16" s="21">
        <f t="shared" ca="1" si="1"/>
        <v>0</v>
      </c>
      <c r="M16" s="21">
        <f t="shared" si="1"/>
        <v>0</v>
      </c>
      <c r="N16" s="21">
        <f t="shared" ca="1" si="1"/>
        <v>4371.8670558232179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0.20793345576506747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2778.9603646880159</v>
      </c>
      <c r="C20" s="23">
        <f t="shared" ref="C20:P20" ca="1" si="2">C16*C18</f>
        <v>0</v>
      </c>
      <c r="D20" s="23">
        <f t="shared" ca="1" si="2"/>
        <v>2260.9973153519495</v>
      </c>
      <c r="E20" s="23">
        <f t="shared" si="2"/>
        <v>36.563909323540344</v>
      </c>
      <c r="F20" s="23">
        <f t="shared" ca="1" si="2"/>
        <v>725.66901645450548</v>
      </c>
      <c r="G20" s="23">
        <f t="shared" si="2"/>
        <v>0</v>
      </c>
      <c r="H20" s="23">
        <f t="shared" si="2"/>
        <v>0</v>
      </c>
      <c r="I20" s="23">
        <f t="shared" si="2"/>
        <v>0</v>
      </c>
      <c r="J20" s="23">
        <f t="shared" si="2"/>
        <v>4.0559186051256559E-2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1229.08863852892</v>
      </c>
      <c r="C26" s="39">
        <f>IF(ISERROR(B26*3.6/1000000/'E Balans VL '!Z12*100),0,B26*3.6/1000000/'E Balans VL '!Z12*100)</f>
        <v>2.5980986784826157E-2</v>
      </c>
      <c r="D26" s="237" t="s">
        <v>754</v>
      </c>
      <c r="F26" s="6"/>
    </row>
    <row r="27" spans="1:18">
      <c r="A27" s="231" t="s">
        <v>53</v>
      </c>
      <c r="B27" s="33">
        <f>IF(ISERROR(TER_horeca_ele_kWh/1000),0,TER_horeca_ele_kWh/1000)</f>
        <v>979.95893257074601</v>
      </c>
      <c r="C27" s="39">
        <f>IF(ISERROR(B27*3.6/1000000/'E Balans VL '!Z9*100),0,B27*3.6/1000000/'E Balans VL '!Z9*100)</f>
        <v>7.7249797405211082E-2</v>
      </c>
      <c r="D27" s="237" t="s">
        <v>754</v>
      </c>
      <c r="F27" s="6"/>
    </row>
    <row r="28" spans="1:18">
      <c r="A28" s="171" t="s">
        <v>52</v>
      </c>
      <c r="B28" s="33">
        <f>IF(ISERROR(TER_handel_ele_kWh/1000),0,TER_handel_ele_kWh/1000)</f>
        <v>2751.4166965064101</v>
      </c>
      <c r="C28" s="39">
        <f>IF(ISERROR(B28*3.6/1000000/'E Balans VL '!Z13*100),0,B28*3.6/1000000/'E Balans VL '!Z13*100)</f>
        <v>7.9857229501794177E-2</v>
      </c>
      <c r="D28" s="237" t="s">
        <v>754</v>
      </c>
      <c r="F28" s="6"/>
    </row>
    <row r="29" spans="1:18">
      <c r="A29" s="231" t="s">
        <v>51</v>
      </c>
      <c r="B29" s="33">
        <f>IF(ISERROR(TER_gezond_ele_kWh/1000),0,TER_gezond_ele_kWh/1000)</f>
        <v>128.88971159323799</v>
      </c>
      <c r="C29" s="39">
        <f>IF(ISERROR(B29*3.6/1000000/'E Balans VL '!Z10*100),0,B29*3.6/1000000/'E Balans VL '!Z10*100)</f>
        <v>1.3574203055697757E-2</v>
      </c>
      <c r="D29" s="237" t="s">
        <v>754</v>
      </c>
      <c r="F29" s="6"/>
    </row>
    <row r="30" spans="1:18">
      <c r="A30" s="231" t="s">
        <v>50</v>
      </c>
      <c r="B30" s="33">
        <f>IF(ISERROR(TER_ander_ele_kWh/1000),0,TER_ander_ele_kWh/1000)</f>
        <v>4918.0038342048201</v>
      </c>
      <c r="C30" s="39">
        <f>IF(ISERROR(B30*3.6/1000000/'E Balans VL '!Z14*100),0,B30*3.6/1000000/'E Balans VL '!Z14*100)</f>
        <v>0.36275303099606676</v>
      </c>
      <c r="D30" s="237" t="s">
        <v>754</v>
      </c>
      <c r="F30" s="6"/>
    </row>
    <row r="31" spans="1:18">
      <c r="A31" s="231" t="s">
        <v>55</v>
      </c>
      <c r="B31" s="33">
        <f>IF(ISERROR(TER_onderwijs_ele_kWh/1000),0,TER_onderwijs_ele_kWh/1000)</f>
        <v>82.886047111954795</v>
      </c>
      <c r="C31" s="39">
        <f>IF(ISERROR(B31*3.6/1000000/'E Balans VL '!Z11*100),0,B31*3.6/1000000/'E Balans VL '!Z11*100)</f>
        <v>2.0584488109000064E-2</v>
      </c>
      <c r="D31" s="237" t="s">
        <v>754</v>
      </c>
    </row>
    <row r="32" spans="1:18">
      <c r="A32" s="231" t="s">
        <v>260</v>
      </c>
      <c r="B32" s="33">
        <f>IF(ISERROR(TER_rest_ele_kWh/1000),0,TER_rest_ele_kWh/1000)</f>
        <v>3230.7681870757601</v>
      </c>
      <c r="C32" s="39">
        <f>IF(ISERROR(B32*3.6/1000000/'E Balans VL '!Z8*100),0,B32*3.6/1000000/'E Balans VL '!Z8*100)</f>
        <v>2.6584933770793233E-2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85519.716584806883</v>
      </c>
      <c r="C5" s="17">
        <f>IF(ISERROR('Eigen informatie GS &amp; warmtenet'!B59),0,'Eigen informatie GS &amp; warmtenet'!B59)</f>
        <v>0</v>
      </c>
      <c r="D5" s="30">
        <f>SUM(D6:D15)</f>
        <v>91802.087665837535</v>
      </c>
      <c r="E5" s="17">
        <f>SUM(E6:E15)</f>
        <v>4016.901554177146</v>
      </c>
      <c r="F5" s="17">
        <f>SUM(F6:F15)</f>
        <v>17900.436734065835</v>
      </c>
      <c r="G5" s="18"/>
      <c r="H5" s="17"/>
      <c r="I5" s="17"/>
      <c r="J5" s="17">
        <f>SUM(J6:J15)</f>
        <v>226.39479344472679</v>
      </c>
      <c r="K5" s="17"/>
      <c r="L5" s="17"/>
      <c r="M5" s="17"/>
      <c r="N5" s="17">
        <f>SUM(N6:N15)</f>
        <v>16713.442971824348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558.06105996757503</v>
      </c>
      <c r="C8" s="33"/>
      <c r="D8" s="37">
        <f>IF( ISERROR(IND_metaal_Gas_kWH/1000),0,IND_metaal_Gas_kWH/1000)*0.902</f>
        <v>376.12670295047434</v>
      </c>
      <c r="E8" s="33">
        <f>C30*'E Balans VL '!I18/100/3.6*1000000</f>
        <v>5.1308324659044144</v>
      </c>
      <c r="F8" s="33">
        <f>C30*'E Balans VL '!L18/100/3.6*1000000+C30*'E Balans VL '!N18/100/3.6*1000000</f>
        <v>52.327547691546421</v>
      </c>
      <c r="G8" s="34"/>
      <c r="H8" s="33"/>
      <c r="I8" s="33"/>
      <c r="J8" s="40">
        <f>C30*'E Balans VL '!D18/100/3.6*1000000+C30*'E Balans VL '!E18/100/3.6*1000000</f>
        <v>0</v>
      </c>
      <c r="K8" s="33"/>
      <c r="L8" s="33"/>
      <c r="M8" s="33"/>
      <c r="N8" s="33">
        <f>C30*'E Balans VL '!Y18/100/3.6*1000000</f>
        <v>7.961663255175325</v>
      </c>
      <c r="O8" s="33"/>
      <c r="P8" s="33"/>
      <c r="R8" s="32"/>
    </row>
    <row r="9" spans="1:18">
      <c r="A9" s="6" t="s">
        <v>33</v>
      </c>
      <c r="B9" s="37">
        <f t="shared" si="0"/>
        <v>1500.9778303327801</v>
      </c>
      <c r="C9" s="33"/>
      <c r="D9" s="37">
        <f>IF( ISERROR(IND_andere_gas_kWh/1000),0,IND_andere_gas_kWh/1000)*0.902</f>
        <v>1381.1403011701782</v>
      </c>
      <c r="E9" s="33">
        <f>C31*'E Balans VL '!I19/100/3.6*1000000</f>
        <v>438.76504039807929</v>
      </c>
      <c r="F9" s="33">
        <f>C31*'E Balans VL '!L19/100/3.6*1000000+C31*'E Balans VL '!N19/100/3.6*1000000</f>
        <v>1206.1493002546563</v>
      </c>
      <c r="G9" s="34"/>
      <c r="H9" s="33"/>
      <c r="I9" s="33"/>
      <c r="J9" s="40">
        <f>C31*'E Balans VL '!D19/100/3.6*1000000+C31*'E Balans VL '!E19/100/3.6*1000000</f>
        <v>0</v>
      </c>
      <c r="K9" s="33"/>
      <c r="L9" s="33"/>
      <c r="M9" s="33"/>
      <c r="N9" s="33">
        <f>C31*'E Balans VL '!Y19/100/3.6*1000000</f>
        <v>495.94635365765095</v>
      </c>
      <c r="O9" s="33"/>
      <c r="P9" s="33"/>
      <c r="R9" s="32"/>
    </row>
    <row r="10" spans="1:18">
      <c r="A10" s="6" t="s">
        <v>41</v>
      </c>
      <c r="B10" s="37">
        <f t="shared" si="0"/>
        <v>269.64139453612199</v>
      </c>
      <c r="C10" s="33"/>
      <c r="D10" s="37">
        <f>IF( ISERROR(IND_voed_gas_kWh/1000),0,IND_voed_gas_kWh/1000)*0.902</f>
        <v>331.31077915652656</v>
      </c>
      <c r="E10" s="33">
        <f>C32*'E Balans VL '!I20/100/3.6*1000000</f>
        <v>0.57043055098050555</v>
      </c>
      <c r="F10" s="33">
        <f>C32*'E Balans VL '!L20/100/3.6*1000000+C32*'E Balans VL '!N20/100/3.6*1000000</f>
        <v>17.144075295214272</v>
      </c>
      <c r="G10" s="34"/>
      <c r="H10" s="33"/>
      <c r="I10" s="33"/>
      <c r="J10" s="40">
        <f>C32*'E Balans VL '!D20/100/3.6*1000000+C32*'E Balans VL '!E20/100/3.6*1000000</f>
        <v>0</v>
      </c>
      <c r="K10" s="33"/>
      <c r="L10" s="33"/>
      <c r="M10" s="33"/>
      <c r="N10" s="33">
        <f>C32*'E Balans VL '!Y20/100/3.6*1000000</f>
        <v>18.607917109291343</v>
      </c>
      <c r="O10" s="33"/>
      <c r="P10" s="33"/>
      <c r="R10" s="32"/>
    </row>
    <row r="11" spans="1:18">
      <c r="A11" s="6" t="s">
        <v>40</v>
      </c>
      <c r="B11" s="37">
        <f t="shared" si="0"/>
        <v>14266.671002634599</v>
      </c>
      <c r="C11" s="33"/>
      <c r="D11" s="37">
        <f>IF( ISERROR(IND_textiel_gas_kWh/1000),0,IND_textiel_gas_kWh/1000)*0.902</f>
        <v>0</v>
      </c>
      <c r="E11" s="33">
        <f>C33*'E Balans VL '!I21/100/3.6*1000000</f>
        <v>42.370782854321455</v>
      </c>
      <c r="F11" s="33">
        <f>C33*'E Balans VL '!L21/100/3.6*1000000+C33*'E Balans VL '!N21/100/3.6*1000000</f>
        <v>1441.3254501154793</v>
      </c>
      <c r="G11" s="34"/>
      <c r="H11" s="33"/>
      <c r="I11" s="33"/>
      <c r="J11" s="40">
        <f>C33*'E Balans VL '!D21/100/3.6*1000000+C33*'E Balans VL '!E21/100/3.6*1000000</f>
        <v>0</v>
      </c>
      <c r="K11" s="33"/>
      <c r="L11" s="33"/>
      <c r="M11" s="33"/>
      <c r="N11" s="33">
        <f>C33*'E Balans VL '!Y21/100/3.6*1000000</f>
        <v>786.85243579645407</v>
      </c>
      <c r="O11" s="33"/>
      <c r="P11" s="33"/>
      <c r="R11" s="32"/>
    </row>
    <row r="12" spans="1:18">
      <c r="A12" s="6" t="s">
        <v>37</v>
      </c>
      <c r="B12" s="37">
        <f t="shared" si="0"/>
        <v>10509.287788849701</v>
      </c>
      <c r="C12" s="33"/>
      <c r="D12" s="37">
        <f>IF( ISERROR(IND_min_gas_kWh/1000),0,IND_min_gas_kWh/1000)*0.902</f>
        <v>0</v>
      </c>
      <c r="E12" s="33">
        <f>C34*'E Balans VL '!I22/100/3.6*1000000</f>
        <v>304.62097928138195</v>
      </c>
      <c r="F12" s="33">
        <f>C34*'E Balans VL '!L22/100/3.6*1000000+C34*'E Balans VL '!N22/100/3.6*1000000</f>
        <v>3613.2118994053026</v>
      </c>
      <c r="G12" s="34"/>
      <c r="H12" s="33"/>
      <c r="I12" s="33"/>
      <c r="J12" s="40">
        <f>C34*'E Balans VL '!D22/100/3.6*1000000+C34*'E Balans VL '!E22/100/3.6*1000000</f>
        <v>17.269926763716352</v>
      </c>
      <c r="K12" s="33"/>
      <c r="L12" s="33"/>
      <c r="M12" s="33"/>
      <c r="N12" s="33">
        <f>C34*'E Balans VL '!Y22/100/3.6*1000000</f>
        <v>2300.6557991666268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58415.077508486102</v>
      </c>
      <c r="C15" s="33"/>
      <c r="D15" s="37">
        <f>IF( ISERROR(IND_rest_gas_kWh/1000),0,IND_rest_gas_kWh/1000)*0.902</f>
        <v>89713.509882560349</v>
      </c>
      <c r="E15" s="33">
        <f>C37*'E Balans VL '!I15/100/3.6*1000000</f>
        <v>3225.443488626478</v>
      </c>
      <c r="F15" s="33">
        <f>C37*'E Balans VL '!L15/100/3.6*1000000+C37*'E Balans VL '!N15/100/3.6*1000000</f>
        <v>11570.278461303637</v>
      </c>
      <c r="G15" s="34"/>
      <c r="H15" s="33"/>
      <c r="I15" s="33"/>
      <c r="J15" s="40">
        <f>C37*'E Balans VL '!D15/100/3.6*1000000+C37*'E Balans VL '!E15/100/3.6*1000000</f>
        <v>209.12486668101045</v>
      </c>
      <c r="K15" s="33"/>
      <c r="L15" s="33"/>
      <c r="M15" s="33"/>
      <c r="N15" s="33">
        <f>C37*'E Balans VL '!Y15/100/3.6*1000000</f>
        <v>13103.418802839149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85519.716584806883</v>
      </c>
      <c r="C18" s="21">
        <f>C5+C16</f>
        <v>0</v>
      </c>
      <c r="D18" s="21">
        <f>MAX((D5+D16),0)</f>
        <v>91802.087665837535</v>
      </c>
      <c r="E18" s="21">
        <f>MAX((E5+E16),0)</f>
        <v>4016.901554177146</v>
      </c>
      <c r="F18" s="21">
        <f>MAX((F5+F16),0)</f>
        <v>17900.436734065835</v>
      </c>
      <c r="G18" s="21"/>
      <c r="H18" s="21"/>
      <c r="I18" s="21"/>
      <c r="J18" s="21">
        <f>MAX((J5+J16),0)</f>
        <v>226.39479344472679</v>
      </c>
      <c r="K18" s="21"/>
      <c r="L18" s="21">
        <f>MAX((L5+L16),0)</f>
        <v>0</v>
      </c>
      <c r="M18" s="21"/>
      <c r="N18" s="21">
        <f>MAX((N5+N16),0)</f>
        <v>16713.442971824348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0.20793345576506747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17782.410205528049</v>
      </c>
      <c r="C22" s="23">
        <f ca="1">C18*C20</f>
        <v>0</v>
      </c>
      <c r="D22" s="23">
        <f>D18*D20</f>
        <v>18544.021708499182</v>
      </c>
      <c r="E22" s="23">
        <f>E18*E20</f>
        <v>911.83665279821219</v>
      </c>
      <c r="F22" s="23">
        <f>F18*F20</f>
        <v>4779.4166079955785</v>
      </c>
      <c r="G22" s="23"/>
      <c r="H22" s="23"/>
      <c r="I22" s="23"/>
      <c r="J22" s="23">
        <f>J18*J20</f>
        <v>80.143756879433283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558.06105996757503</v>
      </c>
      <c r="C30" s="39">
        <f>IF(ISERROR(B30*3.6/1000000/'E Balans VL '!Z18*100),0,B30*3.6/1000000/'E Balans VL '!Z18*100)</f>
        <v>3.1626751230512083E-2</v>
      </c>
      <c r="D30" s="237" t="s">
        <v>754</v>
      </c>
    </row>
    <row r="31" spans="1:18">
      <c r="A31" s="6" t="s">
        <v>33</v>
      </c>
      <c r="B31" s="37">
        <f>IF( ISERROR(IND_ander_ele_kWh/1000),0,IND_ander_ele_kWh/1000)</f>
        <v>1500.9778303327801</v>
      </c>
      <c r="C31" s="39">
        <f>IF(ISERROR(B31*3.6/1000000/'E Balans VL '!Z19*100),0,B31*3.6/1000000/'E Balans VL '!Z19*100)</f>
        <v>6.8078104420988092E-2</v>
      </c>
      <c r="D31" s="237" t="s">
        <v>754</v>
      </c>
    </row>
    <row r="32" spans="1:18">
      <c r="A32" s="171" t="s">
        <v>41</v>
      </c>
      <c r="B32" s="37">
        <f>IF( ISERROR(IND_voed_ele_kWh/1000),0,IND_voed_ele_kWh/1000)</f>
        <v>269.64139453612199</v>
      </c>
      <c r="C32" s="39">
        <f>IF(ISERROR(B32*3.6/1000000/'E Balans VL '!Z20*100),0,B32*3.6/1000000/'E Balans VL '!Z20*100)</f>
        <v>8.3412324015786111E-3</v>
      </c>
      <c r="D32" s="237" t="s">
        <v>754</v>
      </c>
    </row>
    <row r="33" spans="1:5">
      <c r="A33" s="171" t="s">
        <v>40</v>
      </c>
      <c r="B33" s="37">
        <f>IF( ISERROR(IND_textiel_ele_kWh/1000),0,IND_textiel_ele_kWh/1000)</f>
        <v>14266.671002634599</v>
      </c>
      <c r="C33" s="39">
        <f>IF(ISERROR(B33*3.6/1000000/'E Balans VL '!Z21*100),0,B33*3.6/1000000/'E Balans VL '!Z21*100)</f>
        <v>1.8602153166203343</v>
      </c>
      <c r="D33" s="237" t="s">
        <v>754</v>
      </c>
    </row>
    <row r="34" spans="1:5">
      <c r="A34" s="171" t="s">
        <v>37</v>
      </c>
      <c r="B34" s="37">
        <f>IF( ISERROR(IND_min_ele_kWh/1000),0,IND_min_ele_kWh/1000)</f>
        <v>10509.287788849701</v>
      </c>
      <c r="C34" s="39">
        <f>IF(ISERROR(B34*3.6/1000000/'E Balans VL '!Z22*100),0,B34*3.6/1000000/'E Balans VL '!Z22*100)</f>
        <v>1.8902929872112844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58415.077508486102</v>
      </c>
      <c r="C37" s="39">
        <f>IF(ISERROR(B37*3.6/1000000/'E Balans VL '!Z15*100),0,B37*3.6/1000000/'E Balans VL '!Z15*100)</f>
        <v>0.46301122979280324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6232.15982727549</v>
      </c>
      <c r="C5" s="17">
        <f>'Eigen informatie GS &amp; warmtenet'!B60</f>
        <v>0</v>
      </c>
      <c r="D5" s="30">
        <f>IF(ISERROR(SUM(LB_lb_gas_kWh,LB_rest_gas_kWh,onbekend_gas_kWh)/1000),0,SUM(LB_lb_gas_kWh,LB_rest_gas_kWh,onbekend_gas_kWh)/1000)*0.902</f>
        <v>2994.9298157421363</v>
      </c>
      <c r="E5" s="17">
        <f>B17*'E Balans VL '!I25/3.6*1000000/100</f>
        <v>183.18221253681202</v>
      </c>
      <c r="F5" s="17">
        <f>B17*('E Balans VL '!L25/3.6*1000000+'E Balans VL '!N25/3.6*1000000)/100</f>
        <v>25962.841072188807</v>
      </c>
      <c r="G5" s="18"/>
      <c r="H5" s="17"/>
      <c r="I5" s="17"/>
      <c r="J5" s="17">
        <f>('E Balans VL '!D25+'E Balans VL '!E25)/3.6*1000000*landbouw!B17/100</f>
        <v>902.9061218079089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6232.15982727549</v>
      </c>
      <c r="C8" s="21">
        <f>C5+C6</f>
        <v>0</v>
      </c>
      <c r="D8" s="21">
        <f>MAX((D5+D6),0)</f>
        <v>2994.9298157421363</v>
      </c>
      <c r="E8" s="21">
        <f>MAX((E5+E6),0)</f>
        <v>183.18221253681202</v>
      </c>
      <c r="F8" s="21">
        <f>MAX((F5+F6),0)</f>
        <v>25962.841072188807</v>
      </c>
      <c r="G8" s="21"/>
      <c r="H8" s="21"/>
      <c r="I8" s="21"/>
      <c r="J8" s="21">
        <f>MAX((J5+J6),0)</f>
        <v>902.9061218079089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0.20793345576506747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1295.8745297656187</v>
      </c>
      <c r="C12" s="23">
        <f ca="1">C8*C10</f>
        <v>0</v>
      </c>
      <c r="D12" s="23">
        <f>D8*D10</f>
        <v>604.9758227799116</v>
      </c>
      <c r="E12" s="23">
        <f>E8*E10</f>
        <v>41.582362245856331</v>
      </c>
      <c r="F12" s="23">
        <f>F8*F10</f>
        <v>6932.078566274412</v>
      </c>
      <c r="G12" s="23"/>
      <c r="H12" s="23"/>
      <c r="I12" s="23"/>
      <c r="J12" s="23">
        <f>J8*J10</f>
        <v>319.62876711999974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0.88436303229555047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817.99906509705386</v>
      </c>
      <c r="C26" s="247">
        <f>B26*'GWP N2O_CH4'!B5</f>
        <v>17177.98036703813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542.62713640100287</v>
      </c>
      <c r="C27" s="247">
        <f>B27*'GWP N2O_CH4'!B5</f>
        <v>11395.169864421061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11.41714524243352</v>
      </c>
      <c r="C28" s="247">
        <f>B28*'GWP N2O_CH4'!B4</f>
        <v>3539.3150251543912</v>
      </c>
      <c r="D28" s="50"/>
    </row>
    <row r="29" spans="1:4">
      <c r="A29" s="41" t="s">
        <v>277</v>
      </c>
      <c r="B29" s="247">
        <f>B34*'ha_N2O bodem landbouw'!B4</f>
        <v>32.714547779146102</v>
      </c>
      <c r="C29" s="247">
        <f>B29*'GWP N2O_CH4'!B4</f>
        <v>10141.509811535292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7.4653470638540486E-3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1.764538642152786E-4</v>
      </c>
      <c r="C5" s="463" t="s">
        <v>211</v>
      </c>
      <c r="D5" s="448">
        <f>SUM(D6:D11)</f>
        <v>6.0379633162948416E-4</v>
      </c>
      <c r="E5" s="448">
        <f>SUM(E6:E11)</f>
        <v>9.090550116272484E-4</v>
      </c>
      <c r="F5" s="461" t="s">
        <v>211</v>
      </c>
      <c r="G5" s="448">
        <f>SUM(G6:G11)</f>
        <v>0.37503462145468042</v>
      </c>
      <c r="H5" s="448">
        <f>SUM(H6:H11)</f>
        <v>6.9652620253530653E-2</v>
      </c>
      <c r="I5" s="463" t="s">
        <v>211</v>
      </c>
      <c r="J5" s="463" t="s">
        <v>211</v>
      </c>
      <c r="K5" s="463" t="s">
        <v>211</v>
      </c>
      <c r="L5" s="463" t="s">
        <v>211</v>
      </c>
      <c r="M5" s="448">
        <f>SUM(M6:M11)</f>
        <v>2.3978993988472919E-2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5.6496508694422085E-5</v>
      </c>
      <c r="C6" s="449"/>
      <c r="D6" s="962">
        <f>vkm_2011_GW_PW*SUMIFS(TableVerdeelsleutelVkm[CNG],TableVerdeelsleutelVkm[Voertuigtype],"Lichte voertuigen")*SUMIFS(TableECFTransport[EnergieConsumptieFactor (PJ per km)],TableECFTransport[Index],CONCATENATE($A6,"_CNG_CNG"))</f>
        <v>1.6945710003678086E-4</v>
      </c>
      <c r="E6" s="962">
        <f>vkm_2011_GW_PW*SUMIFS(TableVerdeelsleutelVkm[LPG],TableVerdeelsleutelVkm[Voertuigtype],"Lichte voertuigen")*SUMIFS(TableECFTransport[EnergieConsumptieFactor (PJ per km)],TableECFTransport[Index],CONCATENATE($A6,"_LPG_LPG"))</f>
        <v>2.3150273996306816E-4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5.9855996303906644E-2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1.927042415660081E-2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4.069001735035457E-3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5.0517685426172472E-2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1.539407100215005E-5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2.9520857923003197E-3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2.6404025956570606E-5</v>
      </c>
      <c r="C8" s="449"/>
      <c r="D8" s="451">
        <f>vkm_2011_NGW_PW*SUMIFS(TableVerdeelsleutelVkm[CNG],TableVerdeelsleutelVkm[Voertuigtype],"Lichte voertuigen")*SUMIFS(TableECFTransport[EnergieConsumptieFactor (PJ per km)],TableECFTransport[Index],CONCATENATE($A8,"_CNG_CNG"))</f>
        <v>1.40813016886094E-4</v>
      </c>
      <c r="E8" s="451">
        <f>vkm_2011_NGW_PW*SUMIFS(TableVerdeelsleutelVkm[LPG],TableVerdeelsleutelVkm[Voertuigtype],"Lichte voertuigen")*SUMIFS(TableECFTransport[EnergieConsumptieFactor (PJ per km)],TableECFTransport[Index],CONCATENATE($A8,"_LPG_LPG"))</f>
        <v>1.7815719712997133E-4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4.2926107098963134E-2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1.5561186154552889E-2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2.969774479621305E-3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1.1033314031107603E-2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3.1651658562408598E-6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6.4474439153866178E-4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9.3553329564285913E-5</v>
      </c>
      <c r="C10" s="449"/>
      <c r="D10" s="451">
        <f>vkm_2011_SW_PW*SUMIFS(TableVerdeelsleutelVkm[CNG],TableVerdeelsleutelVkm[Voertuigtype],"Lichte voertuigen")*SUMIFS(TableECFTransport[EnergieConsumptieFactor (PJ per km)],TableECFTransport[Index],CONCATENATE($A10,"_CNG_CNG"))</f>
        <v>2.9352621470660927E-4</v>
      </c>
      <c r="E10" s="451">
        <f>vkm_2011_SW_PW*SUMIFS(TableVerdeelsleutelVkm[LPG],TableVerdeelsleutelVkm[Voertuigtype],"Lichte voertuigen")*SUMIFS(TableECFTransport[EnergieConsumptieFactor (PJ per km)],TableECFTransport[Index],CONCATENATE($A10,"_LPG_LPG"))</f>
        <v>4.9939507453420891E-4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0.11511169615835064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3.4770994870161477E-2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7.7573667274916788E-3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9.558982243617993E-2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3.1455835357092597E-5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5.5860208624854968E-3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49.014962282021834</v>
      </c>
      <c r="C14" s="21"/>
      <c r="D14" s="21">
        <f t="shared" ref="D14:M14" si="0">((D5)*10^9/3600)+D12</f>
        <v>167.72120323041227</v>
      </c>
      <c r="E14" s="21">
        <f t="shared" si="0"/>
        <v>252.515281007569</v>
      </c>
      <c r="F14" s="21"/>
      <c r="G14" s="21">
        <f t="shared" si="0"/>
        <v>104176.28373741123</v>
      </c>
      <c r="H14" s="21">
        <f t="shared" si="0"/>
        <v>19347.95007042518</v>
      </c>
      <c r="I14" s="21"/>
      <c r="J14" s="21"/>
      <c r="K14" s="21"/>
      <c r="L14" s="21"/>
      <c r="M14" s="21">
        <f t="shared" si="0"/>
        <v>6660.8316634646999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0.20793345576506747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10.191850491495238</v>
      </c>
      <c r="C18" s="23"/>
      <c r="D18" s="23">
        <f t="shared" ref="D18:M18" si="1">D14*D16</f>
        <v>33.879683052543278</v>
      </c>
      <c r="E18" s="23">
        <f t="shared" si="1"/>
        <v>57.320968788718169</v>
      </c>
      <c r="F18" s="23"/>
      <c r="G18" s="23">
        <f t="shared" si="1"/>
        <v>27815.067757888799</v>
      </c>
      <c r="H18" s="23">
        <f t="shared" si="1"/>
        <v>4817.6395675358699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3.5974825788101846E-3</v>
      </c>
      <c r="H50" s="321">
        <f t="shared" si="2"/>
        <v>0</v>
      </c>
      <c r="I50" s="321">
        <f t="shared" si="2"/>
        <v>0</v>
      </c>
      <c r="J50" s="321">
        <f t="shared" si="2"/>
        <v>0</v>
      </c>
      <c r="K50" s="321">
        <f t="shared" si="2"/>
        <v>0</v>
      </c>
      <c r="L50" s="321">
        <f t="shared" si="2"/>
        <v>0</v>
      </c>
      <c r="M50" s="321">
        <f t="shared" si="2"/>
        <v>2.0432112911478219E-4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3.5974825788101846E-3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2.0432112911478219E-4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999.3007163361624</v>
      </c>
      <c r="H54" s="21">
        <f t="shared" si="3"/>
        <v>0</v>
      </c>
      <c r="I54" s="21">
        <f t="shared" si="3"/>
        <v>0</v>
      </c>
      <c r="J54" s="21">
        <f t="shared" si="3"/>
        <v>0</v>
      </c>
      <c r="K54" s="21">
        <f t="shared" si="3"/>
        <v>0</v>
      </c>
      <c r="L54" s="21">
        <f t="shared" si="3"/>
        <v>0</v>
      </c>
      <c r="M54" s="21">
        <f t="shared" si="3"/>
        <v>56.755869198550613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0.20793345576506747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266.81329126175535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7456.829559598953</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7500.4795595989526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33037</v>
      </c>
      <c r="C27" s="851">
        <v>8980</v>
      </c>
      <c r="D27" s="672" t="s">
        <v>809</v>
      </c>
      <c r="E27" s="671" t="s">
        <v>810</v>
      </c>
      <c r="F27" s="671" t="s">
        <v>811</v>
      </c>
      <c r="G27" s="671" t="s">
        <v>812</v>
      </c>
      <c r="H27" s="671" t="s">
        <v>813</v>
      </c>
      <c r="I27" s="671" t="s">
        <v>810</v>
      </c>
      <c r="J27" s="850">
        <v>41379</v>
      </c>
      <c r="K27" s="850">
        <v>41379</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9.6999999999999993</v>
      </c>
      <c r="N59" s="629">
        <f ca="1">SUMIF($Z$27:AB56,"tertiair",N27:N56)</f>
        <v>43.649999999999991</v>
      </c>
      <c r="O59" s="629">
        <f ca="1">SUMIF($Z$27:AC56,"tertiair",O27:O56)</f>
        <v>62.357142857142847</v>
      </c>
      <c r="P59" s="629">
        <f ca="1">SUMIF($Z$27:AD56,"tertiair",P27:P56)</f>
        <v>0</v>
      </c>
      <c r="Q59" s="629">
        <f ca="1">SUMIF($Z$27:AE56,"tertiair",Q27:Q56)</f>
        <v>124.71428571428569</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14171.265047591849</v>
      </c>
      <c r="D10" s="718">
        <f ca="1">tertiair!C16</f>
        <v>62.357142857142847</v>
      </c>
      <c r="E10" s="718">
        <f ca="1">tertiair!D16</f>
        <v>11193.056016593808</v>
      </c>
      <c r="F10" s="718">
        <f>tertiair!E16</f>
        <v>161.07449041207198</v>
      </c>
      <c r="G10" s="718">
        <f ca="1">tertiair!F16</f>
        <v>2717.8614848483348</v>
      </c>
      <c r="H10" s="718">
        <f>tertiair!G16</f>
        <v>0</v>
      </c>
      <c r="I10" s="718">
        <f>tertiair!H16</f>
        <v>0</v>
      </c>
      <c r="J10" s="718">
        <f>tertiair!I16</f>
        <v>0</v>
      </c>
      <c r="K10" s="718">
        <f>tertiair!J16</f>
        <v>0.11457397189620497</v>
      </c>
      <c r="L10" s="718">
        <f>tertiair!K16</f>
        <v>0</v>
      </c>
      <c r="M10" s="718">
        <f ca="1">tertiair!L16</f>
        <v>0</v>
      </c>
      <c r="N10" s="718">
        <f>tertiair!M16</f>
        <v>0</v>
      </c>
      <c r="O10" s="718">
        <f ca="1">tertiair!N16</f>
        <v>4371.8670558232179</v>
      </c>
      <c r="P10" s="718">
        <f>tertiair!O16</f>
        <v>3.1266666666666669</v>
      </c>
      <c r="Q10" s="719">
        <f>tertiair!P16</f>
        <v>19.066666666666666</v>
      </c>
      <c r="R10" s="721">
        <f ca="1">SUM(C10:Q10)</f>
        <v>32699.789145431656</v>
      </c>
      <c r="S10" s="67"/>
    </row>
    <row r="11" spans="1:19" s="474" customFormat="1">
      <c r="A11" s="870" t="s">
        <v>225</v>
      </c>
      <c r="B11" s="875"/>
      <c r="C11" s="718">
        <f>huishoudens!B8</f>
        <v>20886.632931074906</v>
      </c>
      <c r="D11" s="718">
        <f>huishoudens!C8</f>
        <v>0</v>
      </c>
      <c r="E11" s="718">
        <f>huishoudens!D8</f>
        <v>36476.260100049272</v>
      </c>
      <c r="F11" s="718">
        <f>huishoudens!E8</f>
        <v>8743.6144641126357</v>
      </c>
      <c r="G11" s="718">
        <f>huishoudens!F8</f>
        <v>19284.184719248686</v>
      </c>
      <c r="H11" s="718">
        <f>huishoudens!G8</f>
        <v>0</v>
      </c>
      <c r="I11" s="718">
        <f>huishoudens!H8</f>
        <v>0</v>
      </c>
      <c r="J11" s="718">
        <f>huishoudens!I8</f>
        <v>0</v>
      </c>
      <c r="K11" s="718">
        <f>huishoudens!J8</f>
        <v>5927.260963243868</v>
      </c>
      <c r="L11" s="718">
        <f>huishoudens!K8</f>
        <v>0</v>
      </c>
      <c r="M11" s="718">
        <f>huishoudens!L8</f>
        <v>0</v>
      </c>
      <c r="N11" s="718">
        <f>huishoudens!M8</f>
        <v>0</v>
      </c>
      <c r="O11" s="718">
        <f>huishoudens!N8</f>
        <v>25581.098795772341</v>
      </c>
      <c r="P11" s="718">
        <f>huishoudens!O8</f>
        <v>445.55</v>
      </c>
      <c r="Q11" s="719">
        <f>huishoudens!P8</f>
        <v>705.4666666666667</v>
      </c>
      <c r="R11" s="721">
        <f>SUM(C11:Q11)</f>
        <v>118050.06864016838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85519.716584806883</v>
      </c>
      <c r="D13" s="718">
        <f>industrie!C18</f>
        <v>0</v>
      </c>
      <c r="E13" s="718">
        <f>industrie!D18</f>
        <v>91802.087665837535</v>
      </c>
      <c r="F13" s="718">
        <f>industrie!E18</f>
        <v>4016.901554177146</v>
      </c>
      <c r="G13" s="718">
        <f>industrie!F18</f>
        <v>17900.436734065835</v>
      </c>
      <c r="H13" s="718">
        <f>industrie!G18</f>
        <v>0</v>
      </c>
      <c r="I13" s="718">
        <f>industrie!H18</f>
        <v>0</v>
      </c>
      <c r="J13" s="718">
        <f>industrie!I18</f>
        <v>0</v>
      </c>
      <c r="K13" s="718">
        <f>industrie!J18</f>
        <v>226.39479344472679</v>
      </c>
      <c r="L13" s="718">
        <f>industrie!K18</f>
        <v>0</v>
      </c>
      <c r="M13" s="718">
        <f>industrie!L18</f>
        <v>0</v>
      </c>
      <c r="N13" s="718">
        <f>industrie!M18</f>
        <v>0</v>
      </c>
      <c r="O13" s="718">
        <f>industrie!N18</f>
        <v>16713.442971824348</v>
      </c>
      <c r="P13" s="718">
        <f>industrie!O18</f>
        <v>0</v>
      </c>
      <c r="Q13" s="719">
        <f>industrie!P18</f>
        <v>0</v>
      </c>
      <c r="R13" s="721">
        <f>SUM(C13:Q13)</f>
        <v>216178.98030415646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120577.61456347365</v>
      </c>
      <c r="D15" s="723">
        <f t="shared" ref="D15:Q15" ca="1" si="0">SUM(D9:D14)</f>
        <v>62.357142857142847</v>
      </c>
      <c r="E15" s="723">
        <f t="shared" ca="1" si="0"/>
        <v>139471.40378248063</v>
      </c>
      <c r="F15" s="723">
        <f t="shared" si="0"/>
        <v>12921.590508701853</v>
      </c>
      <c r="G15" s="723">
        <f t="shared" ca="1" si="0"/>
        <v>39902.482938162851</v>
      </c>
      <c r="H15" s="723">
        <f t="shared" si="0"/>
        <v>0</v>
      </c>
      <c r="I15" s="723">
        <f t="shared" si="0"/>
        <v>0</v>
      </c>
      <c r="J15" s="723">
        <f t="shared" si="0"/>
        <v>0</v>
      </c>
      <c r="K15" s="723">
        <f t="shared" si="0"/>
        <v>6153.7703306604908</v>
      </c>
      <c r="L15" s="723">
        <f t="shared" si="0"/>
        <v>0</v>
      </c>
      <c r="M15" s="723">
        <f t="shared" ca="1" si="0"/>
        <v>0</v>
      </c>
      <c r="N15" s="723">
        <f t="shared" si="0"/>
        <v>0</v>
      </c>
      <c r="O15" s="723">
        <f t="shared" ca="1" si="0"/>
        <v>46666.408823419908</v>
      </c>
      <c r="P15" s="723">
        <f t="shared" si="0"/>
        <v>448.67666666666668</v>
      </c>
      <c r="Q15" s="724">
        <f t="shared" si="0"/>
        <v>724.53333333333342</v>
      </c>
      <c r="R15" s="725">
        <f ca="1">SUM(R9:R14)</f>
        <v>366928.83808975649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999.3007163361624</v>
      </c>
      <c r="I18" s="718">
        <f>transport!H54</f>
        <v>0</v>
      </c>
      <c r="J18" s="718">
        <f>transport!I54</f>
        <v>0</v>
      </c>
      <c r="K18" s="718">
        <f>transport!J54</f>
        <v>0</v>
      </c>
      <c r="L18" s="718">
        <f>transport!K54</f>
        <v>0</v>
      </c>
      <c r="M18" s="718">
        <f>transport!L54</f>
        <v>0</v>
      </c>
      <c r="N18" s="718">
        <f>transport!M54</f>
        <v>56.755869198550613</v>
      </c>
      <c r="O18" s="718">
        <f>transport!N54</f>
        <v>0</v>
      </c>
      <c r="P18" s="718">
        <f>transport!O54</f>
        <v>0</v>
      </c>
      <c r="Q18" s="719">
        <f>transport!P54</f>
        <v>0</v>
      </c>
      <c r="R18" s="721">
        <f>SUM(C18:Q18)</f>
        <v>1056.0565855347131</v>
      </c>
      <c r="S18" s="67"/>
    </row>
    <row r="19" spans="1:19" s="474" customFormat="1" ht="15" thickBot="1">
      <c r="A19" s="870" t="s">
        <v>307</v>
      </c>
      <c r="B19" s="875"/>
      <c r="C19" s="727">
        <f>transport!B14</f>
        <v>49.014962282021834</v>
      </c>
      <c r="D19" s="727">
        <f>transport!C14</f>
        <v>0</v>
      </c>
      <c r="E19" s="727">
        <f>transport!D14</f>
        <v>167.72120323041227</v>
      </c>
      <c r="F19" s="727">
        <f>transport!E14</f>
        <v>252.515281007569</v>
      </c>
      <c r="G19" s="727">
        <f>transport!F14</f>
        <v>0</v>
      </c>
      <c r="H19" s="727">
        <f>transport!G14</f>
        <v>104176.28373741123</v>
      </c>
      <c r="I19" s="727">
        <f>transport!H14</f>
        <v>19347.95007042518</v>
      </c>
      <c r="J19" s="727">
        <f>transport!I14</f>
        <v>0</v>
      </c>
      <c r="K19" s="727">
        <f>transport!J14</f>
        <v>0</v>
      </c>
      <c r="L19" s="727">
        <f>transport!K14</f>
        <v>0</v>
      </c>
      <c r="M19" s="727">
        <f>transport!L14</f>
        <v>0</v>
      </c>
      <c r="N19" s="727">
        <f>transport!M14</f>
        <v>6660.8316634646999</v>
      </c>
      <c r="O19" s="727">
        <f>transport!N14</f>
        <v>0</v>
      </c>
      <c r="P19" s="727">
        <f>transport!O14</f>
        <v>0</v>
      </c>
      <c r="Q19" s="728">
        <f>transport!P14</f>
        <v>0</v>
      </c>
      <c r="R19" s="729">
        <f>SUM(C19:Q19)</f>
        <v>130654.31691782112</v>
      </c>
      <c r="S19" s="67"/>
    </row>
    <row r="20" spans="1:19" s="474" customFormat="1" ht="15.75" thickBot="1">
      <c r="A20" s="730" t="s">
        <v>230</v>
      </c>
      <c r="B20" s="878"/>
      <c r="C20" s="873">
        <f>SUM(C17:C19)</f>
        <v>49.014962282021834</v>
      </c>
      <c r="D20" s="731">
        <f t="shared" ref="D20:R20" si="1">SUM(D17:D19)</f>
        <v>0</v>
      </c>
      <c r="E20" s="731">
        <f t="shared" si="1"/>
        <v>167.72120323041227</v>
      </c>
      <c r="F20" s="731">
        <f t="shared" si="1"/>
        <v>252.515281007569</v>
      </c>
      <c r="G20" s="731">
        <f t="shared" si="1"/>
        <v>0</v>
      </c>
      <c r="H20" s="731">
        <f t="shared" si="1"/>
        <v>105175.58445374739</v>
      </c>
      <c r="I20" s="731">
        <f t="shared" si="1"/>
        <v>19347.95007042518</v>
      </c>
      <c r="J20" s="731">
        <f t="shared" si="1"/>
        <v>0</v>
      </c>
      <c r="K20" s="731">
        <f t="shared" si="1"/>
        <v>0</v>
      </c>
      <c r="L20" s="731">
        <f t="shared" si="1"/>
        <v>0</v>
      </c>
      <c r="M20" s="731">
        <f t="shared" si="1"/>
        <v>0</v>
      </c>
      <c r="N20" s="731">
        <f t="shared" si="1"/>
        <v>6717.5875326632504</v>
      </c>
      <c r="O20" s="731">
        <f t="shared" si="1"/>
        <v>0</v>
      </c>
      <c r="P20" s="731">
        <f t="shared" si="1"/>
        <v>0</v>
      </c>
      <c r="Q20" s="732">
        <f t="shared" si="1"/>
        <v>0</v>
      </c>
      <c r="R20" s="733">
        <f t="shared" si="1"/>
        <v>131710.37350335583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6232.15982727549</v>
      </c>
      <c r="D22" s="727">
        <f>+landbouw!C8</f>
        <v>0</v>
      </c>
      <c r="E22" s="727">
        <f>+landbouw!D8</f>
        <v>2994.9298157421363</v>
      </c>
      <c r="F22" s="727">
        <f>+landbouw!E8</f>
        <v>183.18221253681202</v>
      </c>
      <c r="G22" s="727">
        <f>+landbouw!F8</f>
        <v>25962.841072188807</v>
      </c>
      <c r="H22" s="727">
        <f>+landbouw!G8</f>
        <v>0</v>
      </c>
      <c r="I22" s="727">
        <f>+landbouw!H8</f>
        <v>0</v>
      </c>
      <c r="J22" s="727">
        <f>+landbouw!I8</f>
        <v>0</v>
      </c>
      <c r="K22" s="727">
        <f>+landbouw!J8</f>
        <v>902.9061218079089</v>
      </c>
      <c r="L22" s="727">
        <f>+landbouw!K8</f>
        <v>0</v>
      </c>
      <c r="M22" s="727">
        <f>+landbouw!L8</f>
        <v>0</v>
      </c>
      <c r="N22" s="727">
        <f>+landbouw!M8</f>
        <v>0</v>
      </c>
      <c r="O22" s="727">
        <f>+landbouw!N8</f>
        <v>0</v>
      </c>
      <c r="P22" s="727">
        <f>+landbouw!O8</f>
        <v>0</v>
      </c>
      <c r="Q22" s="728">
        <f>+landbouw!P8</f>
        <v>0</v>
      </c>
      <c r="R22" s="729">
        <f>SUM(C22:Q22)</f>
        <v>36276.019049551156</v>
      </c>
      <c r="S22" s="67"/>
    </row>
    <row r="23" spans="1:19" s="474" customFormat="1" ht="17.25" thickTop="1" thickBot="1">
      <c r="A23" s="734" t="s">
        <v>116</v>
      </c>
      <c r="B23" s="864"/>
      <c r="C23" s="735">
        <f ca="1">C20+C15+C22</f>
        <v>126858.78935303116</v>
      </c>
      <c r="D23" s="735">
        <f t="shared" ref="D23:Q23" ca="1" si="2">D20+D15+D22</f>
        <v>62.357142857142847</v>
      </c>
      <c r="E23" s="735">
        <f t="shared" ca="1" si="2"/>
        <v>142634.05480145317</v>
      </c>
      <c r="F23" s="735">
        <f t="shared" si="2"/>
        <v>13357.288002246234</v>
      </c>
      <c r="G23" s="735">
        <f t="shared" ca="1" si="2"/>
        <v>65865.324010351658</v>
      </c>
      <c r="H23" s="735">
        <f t="shared" si="2"/>
        <v>105175.58445374739</v>
      </c>
      <c r="I23" s="735">
        <f t="shared" si="2"/>
        <v>19347.95007042518</v>
      </c>
      <c r="J23" s="735">
        <f t="shared" si="2"/>
        <v>0</v>
      </c>
      <c r="K23" s="735">
        <f t="shared" si="2"/>
        <v>7056.6764524683995</v>
      </c>
      <c r="L23" s="735">
        <f t="shared" si="2"/>
        <v>0</v>
      </c>
      <c r="M23" s="735">
        <f t="shared" ca="1" si="2"/>
        <v>0</v>
      </c>
      <c r="N23" s="735">
        <f t="shared" si="2"/>
        <v>6717.5875326632504</v>
      </c>
      <c r="O23" s="735">
        <f t="shared" ca="1" si="2"/>
        <v>46666.408823419908</v>
      </c>
      <c r="P23" s="735">
        <f t="shared" si="2"/>
        <v>448.67666666666668</v>
      </c>
      <c r="Q23" s="736">
        <f t="shared" si="2"/>
        <v>724.53333333333342</v>
      </c>
      <c r="R23" s="737">
        <f ca="1">R20+R15+R22</f>
        <v>534915.23064266343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2946.6801139084864</v>
      </c>
      <c r="D36" s="718">
        <f ca="1">tertiair!C20</f>
        <v>0</v>
      </c>
      <c r="E36" s="718">
        <f ca="1">tertiair!D20</f>
        <v>2260.9973153519495</v>
      </c>
      <c r="F36" s="718">
        <f>tertiair!E20</f>
        <v>36.563909323540344</v>
      </c>
      <c r="G36" s="718">
        <f ca="1">tertiair!F20</f>
        <v>725.66901645450548</v>
      </c>
      <c r="H36" s="718">
        <f>tertiair!G20</f>
        <v>0</v>
      </c>
      <c r="I36" s="718">
        <f>tertiair!H20</f>
        <v>0</v>
      </c>
      <c r="J36" s="718">
        <f>tertiair!I20</f>
        <v>0</v>
      </c>
      <c r="K36" s="718">
        <f>tertiair!J20</f>
        <v>4.0559186051256559E-2</v>
      </c>
      <c r="L36" s="718">
        <f>tertiair!K20</f>
        <v>0</v>
      </c>
      <c r="M36" s="718">
        <f ca="1">tertiair!L20</f>
        <v>0</v>
      </c>
      <c r="N36" s="718">
        <f>tertiair!M20</f>
        <v>0</v>
      </c>
      <c r="O36" s="718">
        <f ca="1">tertiair!N20</f>
        <v>0</v>
      </c>
      <c r="P36" s="718">
        <f>tertiair!O20</f>
        <v>0</v>
      </c>
      <c r="Q36" s="828">
        <f>tertiair!P20</f>
        <v>0</v>
      </c>
      <c r="R36" s="917">
        <f ca="1">SUM(C36:Q36)</f>
        <v>5969.9509142245324</v>
      </c>
    </row>
    <row r="37" spans="1:18">
      <c r="A37" s="885" t="s">
        <v>225</v>
      </c>
      <c r="B37" s="892"/>
      <c r="C37" s="718">
        <f ca="1">huishoudens!B12</f>
        <v>4343.0297646548652</v>
      </c>
      <c r="D37" s="718">
        <f ca="1">huishoudens!C12</f>
        <v>0</v>
      </c>
      <c r="E37" s="718">
        <f>huishoudens!D12</f>
        <v>7368.2045402099538</v>
      </c>
      <c r="F37" s="718">
        <f>huishoudens!E12</f>
        <v>1984.8004833535683</v>
      </c>
      <c r="G37" s="718">
        <f>huishoudens!F12</f>
        <v>5148.8773200393998</v>
      </c>
      <c r="H37" s="718">
        <f>huishoudens!G12</f>
        <v>0</v>
      </c>
      <c r="I37" s="718">
        <f>huishoudens!H12</f>
        <v>0</v>
      </c>
      <c r="J37" s="718">
        <f>huishoudens!I12</f>
        <v>0</v>
      </c>
      <c r="K37" s="718">
        <f>huishoudens!J12</f>
        <v>2098.2503809883292</v>
      </c>
      <c r="L37" s="718">
        <f>huishoudens!K12</f>
        <v>0</v>
      </c>
      <c r="M37" s="718">
        <f>huishoudens!L12</f>
        <v>0</v>
      </c>
      <c r="N37" s="718">
        <f>huishoudens!M12</f>
        <v>0</v>
      </c>
      <c r="O37" s="718">
        <f>huishoudens!N12</f>
        <v>0</v>
      </c>
      <c r="P37" s="718">
        <f>huishoudens!O12</f>
        <v>0</v>
      </c>
      <c r="Q37" s="828">
        <f>huishoudens!P12</f>
        <v>0</v>
      </c>
      <c r="R37" s="917">
        <f ca="1">SUM(C37:Q37)</f>
        <v>20943.162489246119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17782.410205528049</v>
      </c>
      <c r="D39" s="718">
        <f ca="1">industrie!C22</f>
        <v>0</v>
      </c>
      <c r="E39" s="718">
        <f>industrie!D22</f>
        <v>18544.021708499182</v>
      </c>
      <c r="F39" s="718">
        <f>industrie!E22</f>
        <v>911.83665279821219</v>
      </c>
      <c r="G39" s="718">
        <f>industrie!F22</f>
        <v>4779.4166079955785</v>
      </c>
      <c r="H39" s="718">
        <f>industrie!G22</f>
        <v>0</v>
      </c>
      <c r="I39" s="718">
        <f>industrie!H22</f>
        <v>0</v>
      </c>
      <c r="J39" s="718">
        <f>industrie!I22</f>
        <v>0</v>
      </c>
      <c r="K39" s="718">
        <f>industrie!J22</f>
        <v>80.143756879433283</v>
      </c>
      <c r="L39" s="718">
        <f>industrie!K22</f>
        <v>0</v>
      </c>
      <c r="M39" s="718">
        <f>industrie!L22</f>
        <v>0</v>
      </c>
      <c r="N39" s="718">
        <f>industrie!M22</f>
        <v>0</v>
      </c>
      <c r="O39" s="718">
        <f>industrie!N22</f>
        <v>0</v>
      </c>
      <c r="P39" s="718">
        <f>industrie!O22</f>
        <v>0</v>
      </c>
      <c r="Q39" s="828">
        <f>industrie!P22</f>
        <v>0</v>
      </c>
      <c r="R39" s="918">
        <f ca="1">SUM(C39:Q39)</f>
        <v>42097.828931700453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25072.120084091403</v>
      </c>
      <c r="D41" s="763">
        <f t="shared" ref="D41:R41" ca="1" si="4">SUM(D35:D40)</f>
        <v>0</v>
      </c>
      <c r="E41" s="763">
        <f t="shared" ca="1" si="4"/>
        <v>28173.223564061085</v>
      </c>
      <c r="F41" s="763">
        <f t="shared" si="4"/>
        <v>2933.2010454753208</v>
      </c>
      <c r="G41" s="763">
        <f t="shared" ca="1" si="4"/>
        <v>10653.962944489484</v>
      </c>
      <c r="H41" s="763">
        <f t="shared" si="4"/>
        <v>0</v>
      </c>
      <c r="I41" s="763">
        <f t="shared" si="4"/>
        <v>0</v>
      </c>
      <c r="J41" s="763">
        <f t="shared" si="4"/>
        <v>0</v>
      </c>
      <c r="K41" s="763">
        <f t="shared" si="4"/>
        <v>2178.4346970538136</v>
      </c>
      <c r="L41" s="763">
        <f t="shared" si="4"/>
        <v>0</v>
      </c>
      <c r="M41" s="763">
        <f t="shared" ca="1" si="4"/>
        <v>0</v>
      </c>
      <c r="N41" s="763">
        <f t="shared" si="4"/>
        <v>0</v>
      </c>
      <c r="O41" s="763">
        <f t="shared" ca="1" si="4"/>
        <v>0</v>
      </c>
      <c r="P41" s="763">
        <f t="shared" si="4"/>
        <v>0</v>
      </c>
      <c r="Q41" s="764">
        <f t="shared" si="4"/>
        <v>0</v>
      </c>
      <c r="R41" s="765">
        <f t="shared" ca="1" si="4"/>
        <v>69010.942335171101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266.81329126175535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266.81329126175535</v>
      </c>
    </row>
    <row r="45" spans="1:18" ht="15" thickBot="1">
      <c r="A45" s="888" t="s">
        <v>307</v>
      </c>
      <c r="B45" s="898"/>
      <c r="C45" s="727">
        <f ca="1">transport!B18</f>
        <v>10.191850491495238</v>
      </c>
      <c r="D45" s="727">
        <f>transport!C18</f>
        <v>0</v>
      </c>
      <c r="E45" s="727">
        <f>transport!D18</f>
        <v>33.879683052543278</v>
      </c>
      <c r="F45" s="727">
        <f>transport!E18</f>
        <v>57.320968788718169</v>
      </c>
      <c r="G45" s="727">
        <f>transport!F18</f>
        <v>0</v>
      </c>
      <c r="H45" s="727">
        <f>transport!G18</f>
        <v>27815.067757888799</v>
      </c>
      <c r="I45" s="727">
        <f>transport!H18</f>
        <v>4817.6395675358699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32734.099827757425</v>
      </c>
    </row>
    <row r="46" spans="1:18" ht="15.75" thickBot="1">
      <c r="A46" s="886" t="s">
        <v>230</v>
      </c>
      <c r="B46" s="899"/>
      <c r="C46" s="763">
        <f t="shared" ref="C46:R46" ca="1" si="5">SUM(C43:C45)</f>
        <v>10.191850491495238</v>
      </c>
      <c r="D46" s="763">
        <f t="shared" ca="1" si="5"/>
        <v>0</v>
      </c>
      <c r="E46" s="763">
        <f t="shared" si="5"/>
        <v>33.879683052543278</v>
      </c>
      <c r="F46" s="763">
        <f t="shared" si="5"/>
        <v>57.320968788718169</v>
      </c>
      <c r="G46" s="763">
        <f t="shared" si="5"/>
        <v>0</v>
      </c>
      <c r="H46" s="763">
        <f t="shared" si="5"/>
        <v>28081.881049150554</v>
      </c>
      <c r="I46" s="763">
        <f t="shared" si="5"/>
        <v>4817.6395675358699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33000.913119019184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1295.8745297656187</v>
      </c>
      <c r="D48" s="718">
        <f ca="1">+landbouw!C12</f>
        <v>0</v>
      </c>
      <c r="E48" s="718">
        <f>+landbouw!D12</f>
        <v>604.9758227799116</v>
      </c>
      <c r="F48" s="718">
        <f>+landbouw!E12</f>
        <v>41.582362245856331</v>
      </c>
      <c r="G48" s="718">
        <f>+landbouw!F12</f>
        <v>6932.078566274412</v>
      </c>
      <c r="H48" s="718">
        <f>+landbouw!G12</f>
        <v>0</v>
      </c>
      <c r="I48" s="718">
        <f>+landbouw!H12</f>
        <v>0</v>
      </c>
      <c r="J48" s="718">
        <f>+landbouw!I12</f>
        <v>0</v>
      </c>
      <c r="K48" s="718">
        <f>+landbouw!J12</f>
        <v>319.62876711999974</v>
      </c>
      <c r="L48" s="718">
        <f>+landbouw!K12</f>
        <v>0</v>
      </c>
      <c r="M48" s="718">
        <f>+landbouw!L12</f>
        <v>0</v>
      </c>
      <c r="N48" s="718">
        <f>+landbouw!M12</f>
        <v>0</v>
      </c>
      <c r="O48" s="718">
        <f>+landbouw!N12</f>
        <v>0</v>
      </c>
      <c r="P48" s="718">
        <f>+landbouw!O12</f>
        <v>0</v>
      </c>
      <c r="Q48" s="719">
        <f>+landbouw!P12</f>
        <v>0</v>
      </c>
      <c r="R48" s="761">
        <f ca="1">SUM(C48:Q48)</f>
        <v>9194.1400481857982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26378.186464348517</v>
      </c>
      <c r="D53" s="773">
        <f t="shared" ref="D53:Q53" ca="1" si="6">D41+D46+D48</f>
        <v>0</v>
      </c>
      <c r="E53" s="773">
        <f t="shared" ca="1" si="6"/>
        <v>28812.079069893538</v>
      </c>
      <c r="F53" s="773">
        <f t="shared" si="6"/>
        <v>3032.1043765098957</v>
      </c>
      <c r="G53" s="773">
        <f t="shared" ca="1" si="6"/>
        <v>17586.041510763895</v>
      </c>
      <c r="H53" s="773">
        <f t="shared" si="6"/>
        <v>28081.881049150554</v>
      </c>
      <c r="I53" s="773">
        <f t="shared" si="6"/>
        <v>4817.6395675358699</v>
      </c>
      <c r="J53" s="773">
        <f t="shared" si="6"/>
        <v>0</v>
      </c>
      <c r="K53" s="773">
        <f t="shared" si="6"/>
        <v>2498.0634641738134</v>
      </c>
      <c r="L53" s="773">
        <f t="shared" si="6"/>
        <v>0</v>
      </c>
      <c r="M53" s="773">
        <f t="shared" ca="1" si="6"/>
        <v>0</v>
      </c>
      <c r="N53" s="773">
        <f t="shared" si="6"/>
        <v>0</v>
      </c>
      <c r="O53" s="773">
        <f t="shared" ca="1" si="6"/>
        <v>0</v>
      </c>
      <c r="P53" s="773">
        <f>P41+P46+P48</f>
        <v>0</v>
      </c>
      <c r="Q53" s="774">
        <f t="shared" si="6"/>
        <v>0</v>
      </c>
      <c r="R53" s="775">
        <f ca="1">R41+R46+R48</f>
        <v>111205.99550237608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0.20793345576506747</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7456.829559598953</v>
      </c>
      <c r="C66" s="795">
        <f>'lokale energieproductie'!B6</f>
        <v>7456.829559598953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7500.4795595989526</v>
      </c>
      <c r="C69" s="803">
        <f>SUM(C64:C68)</f>
        <v>7500.4795595989526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20886.632931074906</v>
      </c>
      <c r="C4" s="478">
        <f>huishoudens!C8</f>
        <v>0</v>
      </c>
      <c r="D4" s="478">
        <f>huishoudens!D8</f>
        <v>36476.260100049272</v>
      </c>
      <c r="E4" s="478">
        <f>huishoudens!E8</f>
        <v>8743.6144641126357</v>
      </c>
      <c r="F4" s="478">
        <f>huishoudens!F8</f>
        <v>19284.184719248686</v>
      </c>
      <c r="G4" s="478">
        <f>huishoudens!G8</f>
        <v>0</v>
      </c>
      <c r="H4" s="478">
        <f>huishoudens!H8</f>
        <v>0</v>
      </c>
      <c r="I4" s="478">
        <f>huishoudens!I8</f>
        <v>0</v>
      </c>
      <c r="J4" s="478">
        <f>huishoudens!J8</f>
        <v>5927.260963243868</v>
      </c>
      <c r="K4" s="478">
        <f>huishoudens!K8</f>
        <v>0</v>
      </c>
      <c r="L4" s="478">
        <f>huishoudens!L8</f>
        <v>0</v>
      </c>
      <c r="M4" s="478">
        <f>huishoudens!M8</f>
        <v>0</v>
      </c>
      <c r="N4" s="478">
        <f>huishoudens!N8</f>
        <v>25581.098795772341</v>
      </c>
      <c r="O4" s="478">
        <f>huishoudens!O8</f>
        <v>445.55</v>
      </c>
      <c r="P4" s="479">
        <f>huishoudens!P8</f>
        <v>705.4666666666667</v>
      </c>
      <c r="Q4" s="480">
        <f>SUM(B4:P4)</f>
        <v>118050.06864016838</v>
      </c>
    </row>
    <row r="5" spans="1:17">
      <c r="A5" s="477" t="s">
        <v>156</v>
      </c>
      <c r="B5" s="478">
        <f ca="1">tertiair!B16</f>
        <v>13364.66204759185</v>
      </c>
      <c r="C5" s="478">
        <f ca="1">tertiair!C16</f>
        <v>62.357142857142847</v>
      </c>
      <c r="D5" s="478">
        <f ca="1">tertiair!D16</f>
        <v>11193.056016593808</v>
      </c>
      <c r="E5" s="478">
        <f>tertiair!E16</f>
        <v>161.07449041207198</v>
      </c>
      <c r="F5" s="478">
        <f ca="1">tertiair!F16</f>
        <v>2717.8614848483348</v>
      </c>
      <c r="G5" s="478">
        <f>tertiair!G16</f>
        <v>0</v>
      </c>
      <c r="H5" s="478">
        <f>tertiair!H16</f>
        <v>0</v>
      </c>
      <c r="I5" s="478">
        <f>tertiair!I16</f>
        <v>0</v>
      </c>
      <c r="J5" s="478">
        <f>tertiair!J16</f>
        <v>0.11457397189620497</v>
      </c>
      <c r="K5" s="478">
        <f>tertiair!K16</f>
        <v>0</v>
      </c>
      <c r="L5" s="478">
        <f ca="1">tertiair!L16</f>
        <v>0</v>
      </c>
      <c r="M5" s="478">
        <f>tertiair!M16</f>
        <v>0</v>
      </c>
      <c r="N5" s="478">
        <f ca="1">tertiair!N16</f>
        <v>4371.8670558232179</v>
      </c>
      <c r="O5" s="478">
        <f>tertiair!O16</f>
        <v>3.1266666666666669</v>
      </c>
      <c r="P5" s="479">
        <f>tertiair!P16</f>
        <v>19.066666666666666</v>
      </c>
      <c r="Q5" s="477">
        <f t="shared" ref="Q5:Q13" ca="1" si="0">SUM(B5:P5)</f>
        <v>31893.186145431653</v>
      </c>
    </row>
    <row r="6" spans="1:17">
      <c r="A6" s="477" t="s">
        <v>194</v>
      </c>
      <c r="B6" s="478">
        <f>'openbare verlichting'!B8</f>
        <v>806.60299999999995</v>
      </c>
      <c r="C6" s="478"/>
      <c r="D6" s="478"/>
      <c r="E6" s="478"/>
      <c r="F6" s="478"/>
      <c r="G6" s="478"/>
      <c r="H6" s="478"/>
      <c r="I6" s="478"/>
      <c r="J6" s="478"/>
      <c r="K6" s="478"/>
      <c r="L6" s="478"/>
      <c r="M6" s="478"/>
      <c r="N6" s="478"/>
      <c r="O6" s="478"/>
      <c r="P6" s="479"/>
      <c r="Q6" s="477">
        <f t="shared" si="0"/>
        <v>806.60299999999995</v>
      </c>
    </row>
    <row r="7" spans="1:17">
      <c r="A7" s="477" t="s">
        <v>112</v>
      </c>
      <c r="B7" s="478">
        <f>landbouw!B8</f>
        <v>6232.15982727549</v>
      </c>
      <c r="C7" s="478">
        <f>landbouw!C8</f>
        <v>0</v>
      </c>
      <c r="D7" s="478">
        <f>landbouw!D8</f>
        <v>2994.9298157421363</v>
      </c>
      <c r="E7" s="478">
        <f>landbouw!E8</f>
        <v>183.18221253681202</v>
      </c>
      <c r="F7" s="478">
        <f>landbouw!F8</f>
        <v>25962.841072188807</v>
      </c>
      <c r="G7" s="478">
        <f>landbouw!G8</f>
        <v>0</v>
      </c>
      <c r="H7" s="478">
        <f>landbouw!H8</f>
        <v>0</v>
      </c>
      <c r="I7" s="478">
        <f>landbouw!I8</f>
        <v>0</v>
      </c>
      <c r="J7" s="478">
        <f>landbouw!J8</f>
        <v>902.9061218079089</v>
      </c>
      <c r="K7" s="478">
        <f>landbouw!K8</f>
        <v>0</v>
      </c>
      <c r="L7" s="478">
        <f>landbouw!L8</f>
        <v>0</v>
      </c>
      <c r="M7" s="478">
        <f>landbouw!M8</f>
        <v>0</v>
      </c>
      <c r="N7" s="478">
        <f>landbouw!N8</f>
        <v>0</v>
      </c>
      <c r="O7" s="478">
        <f>landbouw!O8</f>
        <v>0</v>
      </c>
      <c r="P7" s="479">
        <f>landbouw!P8</f>
        <v>0</v>
      </c>
      <c r="Q7" s="477">
        <f t="shared" si="0"/>
        <v>36276.019049551156</v>
      </c>
    </row>
    <row r="8" spans="1:17">
      <c r="A8" s="477" t="s">
        <v>635</v>
      </c>
      <c r="B8" s="478">
        <f>industrie!B18</f>
        <v>85519.716584806883</v>
      </c>
      <c r="C8" s="478">
        <f>industrie!C18</f>
        <v>0</v>
      </c>
      <c r="D8" s="478">
        <f>industrie!D18</f>
        <v>91802.087665837535</v>
      </c>
      <c r="E8" s="478">
        <f>industrie!E18</f>
        <v>4016.901554177146</v>
      </c>
      <c r="F8" s="478">
        <f>industrie!F18</f>
        <v>17900.436734065835</v>
      </c>
      <c r="G8" s="478">
        <f>industrie!G18</f>
        <v>0</v>
      </c>
      <c r="H8" s="478">
        <f>industrie!H18</f>
        <v>0</v>
      </c>
      <c r="I8" s="478">
        <f>industrie!I18</f>
        <v>0</v>
      </c>
      <c r="J8" s="478">
        <f>industrie!J18</f>
        <v>226.39479344472679</v>
      </c>
      <c r="K8" s="478">
        <f>industrie!K18</f>
        <v>0</v>
      </c>
      <c r="L8" s="478">
        <f>industrie!L18</f>
        <v>0</v>
      </c>
      <c r="M8" s="478">
        <f>industrie!M18</f>
        <v>0</v>
      </c>
      <c r="N8" s="478">
        <f>industrie!N18</f>
        <v>16713.442971824348</v>
      </c>
      <c r="O8" s="478">
        <f>industrie!O18</f>
        <v>0</v>
      </c>
      <c r="P8" s="479">
        <f>industrie!P18</f>
        <v>0</v>
      </c>
      <c r="Q8" s="477">
        <f t="shared" si="0"/>
        <v>216178.98030415646</v>
      </c>
    </row>
    <row r="9" spans="1:17" s="483" customFormat="1">
      <c r="A9" s="481" t="s">
        <v>561</v>
      </c>
      <c r="B9" s="482">
        <f>transport!B14</f>
        <v>49.014962282021834</v>
      </c>
      <c r="C9" s="482">
        <f>transport!C14</f>
        <v>0</v>
      </c>
      <c r="D9" s="482">
        <f>transport!D14</f>
        <v>167.72120323041227</v>
      </c>
      <c r="E9" s="482">
        <f>transport!E14</f>
        <v>252.515281007569</v>
      </c>
      <c r="F9" s="482">
        <f>transport!F14</f>
        <v>0</v>
      </c>
      <c r="G9" s="482">
        <f>transport!G14</f>
        <v>104176.28373741123</v>
      </c>
      <c r="H9" s="482">
        <f>transport!H14</f>
        <v>19347.95007042518</v>
      </c>
      <c r="I9" s="482">
        <f>transport!I14</f>
        <v>0</v>
      </c>
      <c r="J9" s="482">
        <f>transport!J14</f>
        <v>0</v>
      </c>
      <c r="K9" s="482">
        <f>transport!K14</f>
        <v>0</v>
      </c>
      <c r="L9" s="482">
        <f>transport!L14</f>
        <v>0</v>
      </c>
      <c r="M9" s="482">
        <f>transport!M14</f>
        <v>6660.8316634646999</v>
      </c>
      <c r="N9" s="482">
        <f>transport!N14</f>
        <v>0</v>
      </c>
      <c r="O9" s="482">
        <f>transport!O14</f>
        <v>0</v>
      </c>
      <c r="P9" s="482">
        <f>transport!P14</f>
        <v>0</v>
      </c>
      <c r="Q9" s="481">
        <f>SUM(B9:P9)</f>
        <v>130654.31691782112</v>
      </c>
    </row>
    <row r="10" spans="1:17">
      <c r="A10" s="477" t="s">
        <v>551</v>
      </c>
      <c r="B10" s="478">
        <f>transport!B54</f>
        <v>0</v>
      </c>
      <c r="C10" s="478">
        <f>transport!C54</f>
        <v>0</v>
      </c>
      <c r="D10" s="478">
        <f>transport!D54</f>
        <v>0</v>
      </c>
      <c r="E10" s="478">
        <f>transport!E54</f>
        <v>0</v>
      </c>
      <c r="F10" s="478">
        <f>transport!F54</f>
        <v>0</v>
      </c>
      <c r="G10" s="478">
        <f>transport!G54</f>
        <v>999.3007163361624</v>
      </c>
      <c r="H10" s="478">
        <f>transport!H54</f>
        <v>0</v>
      </c>
      <c r="I10" s="478">
        <f>transport!I54</f>
        <v>0</v>
      </c>
      <c r="J10" s="478">
        <f>transport!J54</f>
        <v>0</v>
      </c>
      <c r="K10" s="478">
        <f>transport!K54</f>
        <v>0</v>
      </c>
      <c r="L10" s="478">
        <f>transport!L54</f>
        <v>0</v>
      </c>
      <c r="M10" s="478">
        <f>transport!M54</f>
        <v>56.755869198550613</v>
      </c>
      <c r="N10" s="478">
        <f>transport!N54</f>
        <v>0</v>
      </c>
      <c r="O10" s="478">
        <f>transport!O54</f>
        <v>0</v>
      </c>
      <c r="P10" s="479">
        <f>transport!P54</f>
        <v>0</v>
      </c>
      <c r="Q10" s="477">
        <f t="shared" si="0"/>
        <v>1056.0565855347131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126858.78935303116</v>
      </c>
      <c r="C14" s="488">
        <f t="shared" ref="C14:Q14" ca="1" si="1">SUM(C4:C13)</f>
        <v>62.357142857142847</v>
      </c>
      <c r="D14" s="488">
        <f t="shared" ca="1" si="1"/>
        <v>142634.05480145317</v>
      </c>
      <c r="E14" s="488">
        <f t="shared" si="1"/>
        <v>13357.288002246234</v>
      </c>
      <c r="F14" s="488">
        <f t="shared" ca="1" si="1"/>
        <v>65865.324010351658</v>
      </c>
      <c r="G14" s="488">
        <f t="shared" si="1"/>
        <v>105175.58445374739</v>
      </c>
      <c r="H14" s="488">
        <f t="shared" si="1"/>
        <v>19347.95007042518</v>
      </c>
      <c r="I14" s="488">
        <f t="shared" si="1"/>
        <v>0</v>
      </c>
      <c r="J14" s="488">
        <f t="shared" si="1"/>
        <v>7056.6764524683995</v>
      </c>
      <c r="K14" s="488">
        <f t="shared" si="1"/>
        <v>0</v>
      </c>
      <c r="L14" s="488">
        <f t="shared" ca="1" si="1"/>
        <v>0</v>
      </c>
      <c r="M14" s="488">
        <f t="shared" si="1"/>
        <v>6717.5875326632504</v>
      </c>
      <c r="N14" s="488">
        <f t="shared" ca="1" si="1"/>
        <v>46666.408823419908</v>
      </c>
      <c r="O14" s="488">
        <f t="shared" si="1"/>
        <v>448.67666666666668</v>
      </c>
      <c r="P14" s="489">
        <f t="shared" si="1"/>
        <v>724.53333333333342</v>
      </c>
      <c r="Q14" s="489">
        <f t="shared" ca="1" si="1"/>
        <v>534915.23064266355</v>
      </c>
    </row>
    <row r="16" spans="1:17">
      <c r="A16" s="491" t="s">
        <v>556</v>
      </c>
      <c r="B16" s="841">
        <f ca="1">huishoudens!B10</f>
        <v>0.20793345576506747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4343.0297646548652</v>
      </c>
      <c r="C21" s="478">
        <f t="shared" ref="C21:C30" ca="1" si="3">C4*$C$16</f>
        <v>0</v>
      </c>
      <c r="D21" s="478">
        <f t="shared" ref="D21:D30" si="4">D4*$D$16</f>
        <v>7368.2045402099538</v>
      </c>
      <c r="E21" s="478">
        <f t="shared" ref="E21:E30" si="5">E4*$E$16</f>
        <v>1984.8004833535683</v>
      </c>
      <c r="F21" s="478">
        <f t="shared" ref="F21:F30" si="6">F4*$F$16</f>
        <v>5148.8773200393998</v>
      </c>
      <c r="G21" s="478">
        <f t="shared" ref="G21:G30" si="7">G4*$G$16</f>
        <v>0</v>
      </c>
      <c r="H21" s="478">
        <f t="shared" ref="H21:H30" si="8">H4*$H$16</f>
        <v>0</v>
      </c>
      <c r="I21" s="478">
        <f t="shared" ref="I21:I30" si="9">I4*$I$16</f>
        <v>0</v>
      </c>
      <c r="J21" s="478">
        <f t="shared" ref="J21:J30" si="10">J4*$J$16</f>
        <v>2098.2503809883292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20943.162489246119</v>
      </c>
    </row>
    <row r="22" spans="1:17">
      <c r="A22" s="477" t="s">
        <v>156</v>
      </c>
      <c r="B22" s="478">
        <f t="shared" ca="1" si="2"/>
        <v>2778.9603646880159</v>
      </c>
      <c r="C22" s="478">
        <f t="shared" ca="1" si="3"/>
        <v>0</v>
      </c>
      <c r="D22" s="478">
        <f t="shared" ca="1" si="4"/>
        <v>2260.9973153519495</v>
      </c>
      <c r="E22" s="478">
        <f t="shared" si="5"/>
        <v>36.563909323540344</v>
      </c>
      <c r="F22" s="478">
        <f t="shared" ca="1" si="6"/>
        <v>725.66901645450548</v>
      </c>
      <c r="G22" s="478">
        <f t="shared" si="7"/>
        <v>0</v>
      </c>
      <c r="H22" s="478">
        <f t="shared" si="8"/>
        <v>0</v>
      </c>
      <c r="I22" s="478">
        <f t="shared" si="9"/>
        <v>0</v>
      </c>
      <c r="J22" s="478">
        <f t="shared" si="10"/>
        <v>4.0559186051256559E-2</v>
      </c>
      <c r="K22" s="478">
        <f t="shared" si="11"/>
        <v>0</v>
      </c>
      <c r="L22" s="478">
        <f t="shared" ca="1" si="12"/>
        <v>0</v>
      </c>
      <c r="M22" s="478">
        <f t="shared" si="13"/>
        <v>0</v>
      </c>
      <c r="N22" s="478">
        <f t="shared" ca="1" si="14"/>
        <v>0</v>
      </c>
      <c r="O22" s="478">
        <f t="shared" si="15"/>
        <v>0</v>
      </c>
      <c r="P22" s="479">
        <f t="shared" si="16"/>
        <v>0</v>
      </c>
      <c r="Q22" s="477">
        <f t="shared" ref="Q22:Q30" ca="1" si="17">SUM(B22:P22)</f>
        <v>5802.2311650040619</v>
      </c>
    </row>
    <row r="23" spans="1:17">
      <c r="A23" s="477" t="s">
        <v>194</v>
      </c>
      <c r="B23" s="478">
        <f t="shared" ca="1" si="2"/>
        <v>167.7197492204707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167.7197492204707</v>
      </c>
    </row>
    <row r="24" spans="1:17">
      <c r="A24" s="477" t="s">
        <v>112</v>
      </c>
      <c r="B24" s="478">
        <f t="shared" ca="1" si="2"/>
        <v>1295.8745297656187</v>
      </c>
      <c r="C24" s="478">
        <f t="shared" ca="1" si="3"/>
        <v>0</v>
      </c>
      <c r="D24" s="478">
        <f t="shared" si="4"/>
        <v>604.9758227799116</v>
      </c>
      <c r="E24" s="478">
        <f t="shared" si="5"/>
        <v>41.582362245856331</v>
      </c>
      <c r="F24" s="478">
        <f t="shared" si="6"/>
        <v>6932.078566274412</v>
      </c>
      <c r="G24" s="478">
        <f t="shared" si="7"/>
        <v>0</v>
      </c>
      <c r="H24" s="478">
        <f t="shared" si="8"/>
        <v>0</v>
      </c>
      <c r="I24" s="478">
        <f t="shared" si="9"/>
        <v>0</v>
      </c>
      <c r="J24" s="478">
        <f t="shared" si="10"/>
        <v>319.62876711999974</v>
      </c>
      <c r="K24" s="478">
        <f t="shared" si="11"/>
        <v>0</v>
      </c>
      <c r="L24" s="478">
        <f t="shared" si="12"/>
        <v>0</v>
      </c>
      <c r="M24" s="478">
        <f t="shared" si="13"/>
        <v>0</v>
      </c>
      <c r="N24" s="478">
        <f t="shared" si="14"/>
        <v>0</v>
      </c>
      <c r="O24" s="478">
        <f t="shared" si="15"/>
        <v>0</v>
      </c>
      <c r="P24" s="479">
        <f t="shared" si="16"/>
        <v>0</v>
      </c>
      <c r="Q24" s="477">
        <f t="shared" ca="1" si="17"/>
        <v>9194.1400481857982</v>
      </c>
    </row>
    <row r="25" spans="1:17">
      <c r="A25" s="477" t="s">
        <v>635</v>
      </c>
      <c r="B25" s="478">
        <f t="shared" ca="1" si="2"/>
        <v>17782.410205528049</v>
      </c>
      <c r="C25" s="478">
        <f t="shared" ca="1" si="3"/>
        <v>0</v>
      </c>
      <c r="D25" s="478">
        <f t="shared" si="4"/>
        <v>18544.021708499182</v>
      </c>
      <c r="E25" s="478">
        <f t="shared" si="5"/>
        <v>911.83665279821219</v>
      </c>
      <c r="F25" s="478">
        <f t="shared" si="6"/>
        <v>4779.4166079955785</v>
      </c>
      <c r="G25" s="478">
        <f t="shared" si="7"/>
        <v>0</v>
      </c>
      <c r="H25" s="478">
        <f t="shared" si="8"/>
        <v>0</v>
      </c>
      <c r="I25" s="478">
        <f t="shared" si="9"/>
        <v>0</v>
      </c>
      <c r="J25" s="478">
        <f t="shared" si="10"/>
        <v>80.143756879433283</v>
      </c>
      <c r="K25" s="478">
        <f t="shared" si="11"/>
        <v>0</v>
      </c>
      <c r="L25" s="478">
        <f t="shared" si="12"/>
        <v>0</v>
      </c>
      <c r="M25" s="478">
        <f t="shared" si="13"/>
        <v>0</v>
      </c>
      <c r="N25" s="478">
        <f t="shared" si="14"/>
        <v>0</v>
      </c>
      <c r="O25" s="478">
        <f t="shared" si="15"/>
        <v>0</v>
      </c>
      <c r="P25" s="479">
        <f t="shared" si="16"/>
        <v>0</v>
      </c>
      <c r="Q25" s="477">
        <f t="shared" ca="1" si="17"/>
        <v>42097.828931700453</v>
      </c>
    </row>
    <row r="26" spans="1:17" s="483" customFormat="1">
      <c r="A26" s="481" t="s">
        <v>561</v>
      </c>
      <c r="B26" s="835">
        <f t="shared" ca="1" si="2"/>
        <v>10.191850491495238</v>
      </c>
      <c r="C26" s="482">
        <f t="shared" ca="1" si="3"/>
        <v>0</v>
      </c>
      <c r="D26" s="482">
        <f t="shared" si="4"/>
        <v>33.879683052543278</v>
      </c>
      <c r="E26" s="482">
        <f t="shared" si="5"/>
        <v>57.320968788718169</v>
      </c>
      <c r="F26" s="482">
        <f t="shared" si="6"/>
        <v>0</v>
      </c>
      <c r="G26" s="482">
        <f t="shared" si="7"/>
        <v>27815.067757888799</v>
      </c>
      <c r="H26" s="482">
        <f t="shared" si="8"/>
        <v>4817.6395675358699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32734.099827757425</v>
      </c>
    </row>
    <row r="27" spans="1:17">
      <c r="A27" s="477" t="s">
        <v>551</v>
      </c>
      <c r="B27" s="478">
        <f t="shared" ca="1" si="2"/>
        <v>0</v>
      </c>
      <c r="C27" s="478">
        <f t="shared" ca="1" si="3"/>
        <v>0</v>
      </c>
      <c r="D27" s="478">
        <f t="shared" si="4"/>
        <v>0</v>
      </c>
      <c r="E27" s="478">
        <f t="shared" si="5"/>
        <v>0</v>
      </c>
      <c r="F27" s="478">
        <f t="shared" si="6"/>
        <v>0</v>
      </c>
      <c r="G27" s="478">
        <f t="shared" si="7"/>
        <v>266.81329126175535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266.81329126175535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26378.186464348513</v>
      </c>
      <c r="C31" s="488">
        <f t="shared" ca="1" si="18"/>
        <v>0</v>
      </c>
      <c r="D31" s="488">
        <f t="shared" ca="1" si="18"/>
        <v>28812.079069893542</v>
      </c>
      <c r="E31" s="488">
        <f t="shared" si="18"/>
        <v>3032.1043765098957</v>
      </c>
      <c r="F31" s="488">
        <f t="shared" ca="1" si="18"/>
        <v>17586.041510763895</v>
      </c>
      <c r="G31" s="488">
        <f t="shared" si="18"/>
        <v>28081.881049150554</v>
      </c>
      <c r="H31" s="488">
        <f t="shared" si="18"/>
        <v>4817.6395675358699</v>
      </c>
      <c r="I31" s="488">
        <f t="shared" si="18"/>
        <v>0</v>
      </c>
      <c r="J31" s="488">
        <f t="shared" si="18"/>
        <v>2498.0634641738134</v>
      </c>
      <c r="K31" s="488">
        <f t="shared" si="18"/>
        <v>0</v>
      </c>
      <c r="L31" s="488">
        <f t="shared" ca="1" si="18"/>
        <v>0</v>
      </c>
      <c r="M31" s="488">
        <f t="shared" si="18"/>
        <v>0</v>
      </c>
      <c r="N31" s="488">
        <f t="shared" ca="1" si="18"/>
        <v>0</v>
      </c>
      <c r="O31" s="488">
        <f t="shared" si="18"/>
        <v>0</v>
      </c>
      <c r="P31" s="489">
        <f t="shared" si="18"/>
        <v>0</v>
      </c>
      <c r="Q31" s="489">
        <f t="shared" ca="1" si="18"/>
        <v>111205.99550237608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0.20793345576506747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0.20793345576506747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0.20793345576506747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2018-09-06T12:47:38Z</dcterms:modified>
</cp:coreProperties>
</file>