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15" i="5"/>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E79" i="14" s="1"/>
  <c r="C17" i="18"/>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8" i="13"/>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C13" i="15"/>
  <c r="C16" s="1"/>
  <c r="L6" i="17"/>
  <c r="L5" s="1"/>
  <c r="L16" i="16"/>
  <c r="L18" s="1"/>
  <c r="I14" i="15"/>
  <c r="I16" s="1"/>
  <c r="J10" i="14" s="1"/>
  <c r="B13" i="16"/>
  <c r="C35"/>
  <c r="D8" i="17"/>
  <c r="E9" i="14"/>
  <c r="D14" i="15"/>
  <c r="P18" i="16"/>
  <c r="P22" s="1"/>
  <c r="Q39" i="14" s="1"/>
  <c r="N6" i="17"/>
  <c r="N5" s="1"/>
  <c r="J8"/>
  <c r="J12" s="1"/>
  <c r="K48" i="14" s="1"/>
  <c r="N16" i="16"/>
  <c r="F8" i="17"/>
  <c r="G22" i="14" s="1"/>
  <c r="N13" i="15"/>
  <c r="L13"/>
  <c r="L16" s="1"/>
  <c r="F13"/>
  <c r="D13"/>
  <c r="B67" i="22"/>
  <c r="M11"/>
  <c r="G10"/>
  <c r="M9"/>
  <c r="G8"/>
  <c r="M7"/>
  <c r="G6"/>
  <c r="G11"/>
  <c r="M8"/>
  <c r="G7"/>
  <c r="M10"/>
  <c r="G9"/>
  <c r="M6"/>
  <c r="L68" i="14"/>
  <c r="B12" i="48"/>
  <c r="Q12" s="1"/>
  <c r="O9" i="14"/>
  <c r="B7" i="15"/>
  <c r="O5" i="16"/>
  <c r="B38" i="13"/>
  <c r="B50" s="1"/>
  <c r="B11" i="15"/>
  <c r="B11" i="16"/>
  <c r="J9" i="14"/>
  <c r="B97" i="18"/>
  <c r="B101" s="1"/>
  <c r="C16" s="1"/>
  <c r="D78" i="14" s="1"/>
  <c r="M13"/>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7" i="48"/>
  <c r="J24" s="1"/>
  <c r="P24"/>
  <c r="E5" i="17"/>
  <c r="C8"/>
  <c r="G24" i="48"/>
  <c r="I24"/>
  <c r="G81" i="14"/>
  <c r="D79"/>
  <c r="H79"/>
  <c r="H81" s="1"/>
  <c r="L79"/>
  <c r="L81" s="1"/>
  <c r="F79"/>
  <c r="J79"/>
  <c r="E68"/>
  <c r="E69" s="1"/>
  <c r="I68"/>
  <c r="M68"/>
  <c r="M69" s="1"/>
  <c r="D19" i="18"/>
  <c r="L19"/>
  <c r="B68" i="14"/>
  <c r="G68"/>
  <c r="G69" s="1"/>
  <c r="E81"/>
  <c r="M81"/>
  <c r="F19" i="18"/>
  <c r="D11" i="14"/>
  <c r="C4" i="48"/>
  <c r="D10" i="14"/>
  <c r="M17" i="18"/>
  <c r="M18"/>
  <c r="Q13" i="14" l="1"/>
  <c r="B35" i="13"/>
  <c r="J15" i="14"/>
  <c r="P8" i="48"/>
  <c r="P25" s="1"/>
  <c r="D18" i="16"/>
  <c r="D22" s="1"/>
  <c r="E39" i="14" s="1"/>
  <c r="G31" i="20"/>
  <c r="H43" i="14" s="1"/>
  <c r="G12" i="22"/>
  <c r="D16" i="15"/>
  <c r="D20" s="1"/>
  <c r="K22" i="14"/>
  <c r="E8" i="17"/>
  <c r="F22" i="14" s="1"/>
  <c r="O18" i="16"/>
  <c r="O22" s="1"/>
  <c r="P39" i="14" s="1"/>
  <c r="B36" i="13"/>
  <c r="B48" s="1"/>
  <c r="C48" s="1"/>
  <c r="N5" s="1"/>
  <c r="N8" s="1"/>
  <c r="N4" i="48" s="1"/>
  <c r="N21" s="1"/>
  <c r="H13"/>
  <c r="H30" s="1"/>
  <c r="H12" i="22"/>
  <c r="B34" i="13"/>
  <c r="N8" i="17"/>
  <c r="N12" s="1"/>
  <c r="O48" i="14" s="1"/>
  <c r="L8" i="17"/>
  <c r="L12" s="1"/>
  <c r="M48" i="14" s="1"/>
  <c r="M50" i="22"/>
  <c r="M54" s="1"/>
  <c r="M10" i="48" s="1"/>
  <c r="M27" s="1"/>
  <c r="G51" i="22"/>
  <c r="G50" s="1"/>
  <c r="G54" s="1"/>
  <c r="H18" i="14" s="1"/>
  <c r="P13"/>
  <c r="E22"/>
  <c r="O8" i="48"/>
  <c r="O25" s="1"/>
  <c r="B9"/>
  <c r="E100" i="18"/>
  <c r="E7" s="1"/>
  <c r="F67" i="14" s="1"/>
  <c r="F69" s="1"/>
  <c r="N7" i="48"/>
  <c r="N24" s="1"/>
  <c r="F7"/>
  <c r="F24" s="1"/>
  <c r="D100" i="18"/>
  <c r="M8"/>
  <c r="M28" i="48"/>
  <c r="F12" i="17"/>
  <c r="G48" i="14" s="1"/>
  <c r="C101" i="18"/>
  <c r="C100"/>
  <c r="B9"/>
  <c r="E101"/>
  <c r="E16" s="1"/>
  <c r="F78" i="14" s="1"/>
  <c r="F81" s="1"/>
  <c r="G101" i="18"/>
  <c r="D7" i="48"/>
  <c r="D24" s="1"/>
  <c r="H100" i="18"/>
  <c r="L41" i="14"/>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G14" s="1"/>
  <c r="H5"/>
  <c r="H14" s="1"/>
  <c r="I14" i="48"/>
  <c r="E5" i="15"/>
  <c r="O20"/>
  <c r="P36" i="14" s="1"/>
  <c r="P10"/>
  <c r="P20" i="15"/>
  <c r="Q36" i="14" s="1"/>
  <c r="Q41" s="1"/>
  <c r="Q53" s="1"/>
  <c r="Q10"/>
  <c r="Q15" s="1"/>
  <c r="Q23" s="1"/>
  <c r="J5" i="15"/>
  <c r="F4" i="48"/>
  <c r="F21" s="1"/>
  <c r="B69" i="14"/>
  <c r="B4" i="6" s="1"/>
  <c r="J23" i="14"/>
  <c r="L53"/>
  <c r="F5" i="15"/>
  <c r="F16" s="1"/>
  <c r="B5"/>
  <c r="B16" s="1"/>
  <c r="E13" i="14"/>
  <c r="B5" i="16"/>
  <c r="B18" s="1"/>
  <c r="C13" i="14" s="1"/>
  <c r="N5" i="15"/>
  <c r="N16" s="1"/>
  <c r="F12" i="13"/>
  <c r="G37" i="14" s="1"/>
  <c r="P5" i="48"/>
  <c r="P22" s="1"/>
  <c r="F13" i="16"/>
  <c r="E13"/>
  <c r="N13"/>
  <c r="J13"/>
  <c r="B47" i="13"/>
  <c r="N12" i="16"/>
  <c r="J12"/>
  <c r="F12"/>
  <c r="E12"/>
  <c r="Q11" i="48"/>
  <c r="O5"/>
  <c r="R9" i="14"/>
  <c r="O28" i="48"/>
  <c r="H22"/>
  <c r="B46" i="13"/>
  <c r="E5" s="1"/>
  <c r="E8" s="1"/>
  <c r="E12" s="1"/>
  <c r="F37" i="14" s="1"/>
  <c r="K31" i="48"/>
  <c r="L26"/>
  <c r="M29"/>
  <c r="M25"/>
  <c r="M24"/>
  <c r="I31"/>
  <c r="C50" i="13"/>
  <c r="J5" s="1"/>
  <c r="J8" s="1"/>
  <c r="C5" i="48"/>
  <c r="E7" l="1"/>
  <c r="E24" s="1"/>
  <c r="P31"/>
  <c r="E12" i="17"/>
  <c r="F48" i="14" s="1"/>
  <c r="J16" i="15"/>
  <c r="K10" i="14" s="1"/>
  <c r="E16" i="15"/>
  <c r="F10" i="14" s="1"/>
  <c r="D8" i="48"/>
  <c r="D25" s="1"/>
  <c r="P41" i="14"/>
  <c r="P53" s="1"/>
  <c r="O22"/>
  <c r="L7" i="48"/>
  <c r="L24" s="1"/>
  <c r="M22" i="14"/>
  <c r="P15"/>
  <c r="P23" s="1"/>
  <c r="P55"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7" i="14"/>
  <c r="Q13" i="48"/>
  <c r="I19" i="14"/>
  <c r="I20" s="1"/>
  <c r="I23" s="1"/>
  <c r="M18" i="22"/>
  <c r="N45" i="14" s="1"/>
  <c r="M9" i="48"/>
  <c r="N19" i="14"/>
  <c r="P14" i="48"/>
  <c r="B8"/>
  <c r="J55" i="14"/>
  <c r="L55"/>
  <c r="E36"/>
  <c r="E41" s="1"/>
  <c r="N20" i="15"/>
  <c r="O36" i="14" s="1"/>
  <c r="O10"/>
  <c r="L5" i="48"/>
  <c r="L22" s="1"/>
  <c r="M10" i="14"/>
  <c r="M15" s="1"/>
  <c r="F20" i="15"/>
  <c r="G36" i="14" s="1"/>
  <c r="G10"/>
  <c r="C10"/>
  <c r="B5" i="48"/>
  <c r="D23" i="14"/>
  <c r="B20" i="6" s="1"/>
  <c r="Q55" i="14"/>
  <c r="N5" i="16"/>
  <c r="F5" i="48"/>
  <c r="F22" s="1"/>
  <c r="E5" i="16"/>
  <c r="J5"/>
  <c r="C35" i="13"/>
  <c r="F5" i="16"/>
  <c r="C36" i="13"/>
  <c r="O22" i="48"/>
  <c r="O31" s="1"/>
  <c r="N12" i="13"/>
  <c r="O37" i="14" s="1"/>
  <c r="O11"/>
  <c r="C38" i="13"/>
  <c r="C39"/>
  <c r="C32"/>
  <c r="C34"/>
  <c r="E4" i="48"/>
  <c r="E21" s="1"/>
  <c r="F11" i="14"/>
  <c r="J4" i="48"/>
  <c r="J12" i="13"/>
  <c r="K37" i="14" s="1"/>
  <c r="K11"/>
  <c r="N5" i="48"/>
  <c r="L20" i="15"/>
  <c r="J5" i="48" l="1"/>
  <c r="J22" s="1"/>
  <c r="B22" i="6"/>
  <c r="C18" i="15" s="1"/>
  <c r="C20" s="1"/>
  <c r="D36" i="14" s="1"/>
  <c r="D31" i="48"/>
  <c r="J20" i="15"/>
  <c r="K36" i="14" s="1"/>
  <c r="E5" i="48"/>
  <c r="E22" s="1"/>
  <c r="N18" i="16"/>
  <c r="N8" i="48" s="1"/>
  <c r="L31"/>
  <c r="N20" i="14"/>
  <c r="N23" s="1"/>
  <c r="E20" i="15"/>
  <c r="F36" i="14" s="1"/>
  <c r="F18" i="16"/>
  <c r="G13" i="14" s="1"/>
  <c r="G15" s="1"/>
  <c r="G23" s="1"/>
  <c r="J18" i="16"/>
  <c r="K13" i="14" s="1"/>
  <c r="K15" s="1"/>
  <c r="K23" s="1"/>
  <c r="J9" i="18"/>
  <c r="M7"/>
  <c r="M9" s="1"/>
  <c r="M16"/>
  <c r="M19" s="1"/>
  <c r="E18" i="16"/>
  <c r="E22" s="1"/>
  <c r="F39" i="14" s="1"/>
  <c r="R22"/>
  <c r="Q7" i="48"/>
  <c r="N46" i="14"/>
  <c r="N53" s="1"/>
  <c r="G18" i="22"/>
  <c r="H45" i="14" s="1"/>
  <c r="H46" s="1"/>
  <c r="H53" s="1"/>
  <c r="I19" i="18"/>
  <c r="J19"/>
  <c r="K78" i="14"/>
  <c r="K81" s="1"/>
  <c r="I81"/>
  <c r="O78"/>
  <c r="O81" s="1"/>
  <c r="B17" i="6" s="1"/>
  <c r="E23" i="14"/>
  <c r="D14" i="48"/>
  <c r="B14"/>
  <c r="J69" i="14"/>
  <c r="C67"/>
  <c r="C69" s="1"/>
  <c r="H19"/>
  <c r="H20" s="1"/>
  <c r="H23" s="1"/>
  <c r="J81"/>
  <c r="H18" i="22"/>
  <c r="I45" i="14" s="1"/>
  <c r="I46" s="1"/>
  <c r="I53" s="1"/>
  <c r="I55" s="1"/>
  <c r="G27" i="48"/>
  <c r="Q10"/>
  <c r="H9"/>
  <c r="Q9" s="1"/>
  <c r="M14"/>
  <c r="M26"/>
  <c r="M31" s="1"/>
  <c r="G26"/>
  <c r="G14"/>
  <c r="C15" i="14"/>
  <c r="C23" s="1"/>
  <c r="B3" i="6" s="1"/>
  <c r="E53" i="14"/>
  <c r="M36"/>
  <c r="M41" s="1"/>
  <c r="L14" i="48"/>
  <c r="M23" i="14"/>
  <c r="C20" i="16"/>
  <c r="C22" s="1"/>
  <c r="D39" i="14" s="1"/>
  <c r="C17" i="19"/>
  <c r="C19" s="1"/>
  <c r="D35" i="14" s="1"/>
  <c r="F8" i="48"/>
  <c r="Q4"/>
  <c r="N22"/>
  <c r="R11" i="14"/>
  <c r="J21" i="48"/>
  <c r="R10" i="14"/>
  <c r="C29" i="20" l="1"/>
  <c r="C10" i="17"/>
  <c r="C12" s="1"/>
  <c r="D48" i="14" s="1"/>
  <c r="C17" i="49"/>
  <c r="C16" i="22"/>
  <c r="O13" i="14"/>
  <c r="O15" s="1"/>
  <c r="C10" i="13"/>
  <c r="C16" i="48" s="1"/>
  <c r="C30" s="1"/>
  <c r="F41" i="14"/>
  <c r="F53" s="1"/>
  <c r="C56" i="22"/>
  <c r="C58" s="1"/>
  <c r="D44" i="14" s="1"/>
  <c r="D46" s="1"/>
  <c r="Q5" i="48"/>
  <c r="F22" i="16"/>
  <c r="G39" i="14" s="1"/>
  <c r="G41" s="1"/>
  <c r="G53" s="1"/>
  <c r="G55" s="1"/>
  <c r="O69" s="1"/>
  <c r="B9" i="6" s="1"/>
  <c r="B12" s="1"/>
  <c r="N22" i="16"/>
  <c r="O39" i="14" s="1"/>
  <c r="O41" s="1"/>
  <c r="O53" s="1"/>
  <c r="E8" i="48"/>
  <c r="E25" s="1"/>
  <c r="E31" s="1"/>
  <c r="F13" i="14"/>
  <c r="F15" s="1"/>
  <c r="F23" s="1"/>
  <c r="F55" s="1"/>
  <c r="J22" i="16"/>
  <c r="K39" i="14" s="1"/>
  <c r="K41" s="1"/>
  <c r="K53" s="1"/>
  <c r="K55" s="1"/>
  <c r="J8" i="48"/>
  <c r="J25" s="1"/>
  <c r="J31" s="1"/>
  <c r="N25"/>
  <c r="N31" s="1"/>
  <c r="N14"/>
  <c r="N55" i="14"/>
  <c r="H55"/>
  <c r="E55"/>
  <c r="C78"/>
  <c r="C81" s="1"/>
  <c r="J14" i="48"/>
  <c r="R19" i="14"/>
  <c r="R20" s="1"/>
  <c r="H14" i="48"/>
  <c r="G31"/>
  <c r="H26"/>
  <c r="H31" s="1"/>
  <c r="M53" i="14"/>
  <c r="M55" s="1"/>
  <c r="C12" i="13"/>
  <c r="D37" i="14" s="1"/>
  <c r="D41" s="1"/>
  <c r="C27" i="48"/>
  <c r="C28"/>
  <c r="C22"/>
  <c r="C25"/>
  <c r="C29"/>
  <c r="C21"/>
  <c r="F25"/>
  <c r="F31" s="1"/>
  <c r="F14"/>
  <c r="C23" l="1"/>
  <c r="C31" s="1"/>
  <c r="C26"/>
  <c r="R13" i="14"/>
  <c r="R15" s="1"/>
  <c r="R23" s="1"/>
  <c r="C24" i="48"/>
  <c r="E14"/>
  <c r="Q8"/>
  <c r="Q14" s="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O23"/>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<sst xmlns="http://schemas.openxmlformats.org/spreadsheetml/2006/main" count="1921" uniqueCount="814">
  <si>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</si>
  <si>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</si>
  <si>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</si>
  <si>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</si>
  <si>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</si>
  <si>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</si>
  <si>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</si>
  <si>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</si>
  <si>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</si>
  <si>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</si>
  <si>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</si>
  <si>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</si>
  <si>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</si>
  <si>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</si>
  <si>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</si>
  <si>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</si>
  <si>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</si>
  <si>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</si>
  <si>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</si>
  <si>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</si>
  <si>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</si>
  <si>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</si>
  <si>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</si>
  <si>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</si>
  <si>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</si>
  <si>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</si>
  <si>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</si>
  <si>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</si>
  <si>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</si>
  <si>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</si>
  <si>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</si>
  <si>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</si>
  <si>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</si>
  <si>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</si>
  <si>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</si>
  <si>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</si>
  <si>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</si>
  <si>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</si>
  <si>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</si>
  <si>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</si>
  <si>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</si>
  <si>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</si>
  <si>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</si>
  <si>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</si>
  <si>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</si>
  <si>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</si>
  <si>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</si>
  <si>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</si>
  <si>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</si>
  <si>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</si>
  <si>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</si>
  <si>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</si>
  <si>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</si>
  <si>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</si>
  <si>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</si>
  <si>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</si>
  <si>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</si>
  <si>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</si>
  <si>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</si>
  <si>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</si>
  <si>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</si>
  <si>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</si>
  <si>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</si>
  <si>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</si>
  <si>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</si>
  <si>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</si>
  <si>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</si>
  <si>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</si>
  <si>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</si>
  <si>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</si>
  <si>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</si>
  <si>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</si>
  <si>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</si>
  <si>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</si>
  <si>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</si>
  <si>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</si>
  <si>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</si>
  <si>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</si>
  <si>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</si>
  <si>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</si>
  <si>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</si>
  <si>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</si>
  <si>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</si>
  <si>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</si>
  <si>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</si>
  <si>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</si>
  <si>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</si>
  <si>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</si>
  <si>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</si>
  <si>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</si>
  <si>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</si>
  <si>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</si>
  <si>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</si>
  <si>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</si>
  <si>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</si>
  <si>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</si>
  <si>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</si>
  <si>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</si>
  <si>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</si>
  <si>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</si>
  <si>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</si>
  <si>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</si>
  <si>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</si>
  <si>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</si>
  <si>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</si>
  <si>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</si>
  <si>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</si>
  <si>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</si>
  <si>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</si>
  <si>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</si>
  <si>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</si>
  <si>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</si>
  <si>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</si>
  <si>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</si>
  <si>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</si>
  <si>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</si>
  <si>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</si>
  <si>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</si>
  <si>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</si>
  <si>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</si>
  <si>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</si>
  <si>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</si>
  <si>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</si>
  <si>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</si>
  <si>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</si>
  <si>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</si>
  <si>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</si>
  <si>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</si>
  <si>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</si>
  <si>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</si>
  <si>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</si>
  <si>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</si>
  <si>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</si>
  <si>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</si>
  <si>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</si>
  <si>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</si>
  <si>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</si>
  <si>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</si>
  <si>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</si>
  <si>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</si>
  <si>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</si>
  <si>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</si>
  <si>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</si>
  <si>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</si>
  <si>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</si>
  <si>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</si>
  <si>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</si>
  <si>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</si>
  <si>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</si>
  <si>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</si>
  <si>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</si>
  <si>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</si>
  <si>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</si>
  <si>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</si>
  <si>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</si>
  <si>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</si>
  <si>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</si>
  <si>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</si>
  <si>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</si>
  <si>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</si>
  <si>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</si>
  <si>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</si>
  <si>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</si>
  <si>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</si>
  <si>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</si>
  <si>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</si>
  <si>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</si>
  <si>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</si>
  <si>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</si>
  <si>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</si>
  <si>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</si>
  <si>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</si>
  <si>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</si>
  <si>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</si>
  <si>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</si>
  <si>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</si>
  <si>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</si>
  <si>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</si>
  <si>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</si>
  <si>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</si>
  <si>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</si>
  <si>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</si>
  <si>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</si>
  <si>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</si>
  <si>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</si>
  <si>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</si>
  <si>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</si>
  <si>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</si>
  <si>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</si>
  <si>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</si>
  <si>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</si>
  <si>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</si>
  <si>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</si>
  <si>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</si>
  <si>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</si>
  <si>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</si>
  <si>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</si>
  <si>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</si>
  <si>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</si>
  <si>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</si>
  <si>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</si>
  <si>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</si>
  <si>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</si>
  <si>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</si>
  <si>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</si>
  <si>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</si>
  <si>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</si>
  <si>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</si>
  <si>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</si>
  <si>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</si>
  <si>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</si>
  <si>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</si>
  <si>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</si>
  <si>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</si>
  <si>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</si>
  <si>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</si>
  <si>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</si>
  <si>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</si>
  <si>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</si>
  <si>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</si>
  <si>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</si>
  <si>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</si>
  <si>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</si>
  <si>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</si>
  <si>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</si>
  <si>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</si>
  <si>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</si>
  <si>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</si>
  <si>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</si>
  <si>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</si>
  <si>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</si>
  <si>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</si>
  <si>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</si>
  <si>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</si>
  <si>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</si>
  <si>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</si>
  <si>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</si>
  <si>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</si>
  <si>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</si>
  <si>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</si>
  <si>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</si>
  <si>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</si>
  <si>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</si>
  <si>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</si>
  <si>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</si>
  <si>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</si>
  <si>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</si>
  <si>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</si>
  <si>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</si>
  <si>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</si>
  <si>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</si>
  <si>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</si>
  <si>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</si>
  <si>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</si>
  <si>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</si>
  <si>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</si>
  <si>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</si>
  <si>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</si>
  <si>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</si>
  <si>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</si>
  <si>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</si>
  <si>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</si>
  <si>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</si>
  <si>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</si>
  <si>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</si>
  <si>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</si>
  <si>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</si>
  <si>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</si>
  <si>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</si>
  <si>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</si>
  <si>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</si>
  <si>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</si>
  <si>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</si>
  <si>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</si>
  <si>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</si>
  <si>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</si>
  <si>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</si>
  <si>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</si>
  <si>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</si>
  <si>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</si>
  <si>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</si>
  <si>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</si>
  <si>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</si>
  <si>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</si>
  <si>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</si>
  <si>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</si>
  <si>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</si>
  <si>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</si>
  <si>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</si>
  <si>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</si>
  <si>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</si>
  <si>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</si>
  <si>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</si>
  <si>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</si>
  <si>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</si>
  <si>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</si>
  <si>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</si>
  <si>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</si>
  <si>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</si>
  <si>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</si>
  <si>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</si>
  <si>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</si>
  <si>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</si>
  <si>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</si>
  <si>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</si>
  <si>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</si>
  <si>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</si>
  <si>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</si>
  <si>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</si>
  <si>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</si>
  <si>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</si>
  <si>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</si>
  <si>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</si>
  <si>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</si>
  <si>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</si>
  <si>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</si>
  <si>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</si>
  <si>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</si>
  <si>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</si>
  <si>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</si>
  <si>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</si>
  <si>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</si>
  <si>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</si>
  <si>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</si>
  <si>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</si>
  <si>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</si>
  <si>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</si>
  <si>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</si>
  <si>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</si>
  <si>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</si>
  <si>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</si>
  <si>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</si>
  <si>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</si>
  <si>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</si>
  <si>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</si>
  <si>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</si>
  <si>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</si>
  <si>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</si>
  <si>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</si>
  <si>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</si>
  <si>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</si>
  <si>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</si>
  <si>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</si>
  <si>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</si>
  <si>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</si>
  <si>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</si>
  <si>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</si>
  <si>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</si>
  <si>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</si>
  <si>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</si>
  <si>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</si>
  <si>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</si>
  <si>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</si>
  <si>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</si>
  <si>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</si>
  <si>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</si>
  <si>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</si>
  <si>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</si>
  <si>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</si>
  <si>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</si>
  <si>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</si>
  <si>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</si>
  <si>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</si>
  <si>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</si>
  <si>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</si>
  <si>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</si>
  <si>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</si>
  <si>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</si>
  <si>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</si>
  <si>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</si>
  <si>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</si>
  <si>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</si>
  <si>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</si>
  <si>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</si>
  <si>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</si>
  <si>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</si>
  <si>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</si>
  <si>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</si>
  <si>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</si>
  <si>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</si>
  <si>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</si>
  <si>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</si>
  <si>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</si>
  <si>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</si>
  <si>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</si>
  <si>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</si>
  <si>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</si>
  <si>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</si>
  <si>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</si>
  <si>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</si>
  <si>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</si>
  <si>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</si>
  <si>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</si>
  <si>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</si>
  <si>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</si>
  <si>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</si>
  <si>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</si>
  <si>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</si>
  <si>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</si>
  <si>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</si>
  <si>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</si>
  <si>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</si>
  <si>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</si>
  <si>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</si>
  <si>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</si>
  <si>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</si>
  <si>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</si>
  <si>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</si>
  <si>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</si>
  <si>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</si>
  <si>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</si>
  <si>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</si>
  <si>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</si>
  <si>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</si>
  <si>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</si>
  <si>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</si>
  <si>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</si>
  <si>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</si>
  <si>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</si>
  <si>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</si>
  <si>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</si>
  <si>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</si>
  <si>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</si>
  <si>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</si>
  <si>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</si>
  <si>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</si>
  <si>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</si>
  <si>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</si>
  <si>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</si>
  <si>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</si>
  <si>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</si>
  <si>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</si>
  <si>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</si>
  <si>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</si>
  <si>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</si>
  <si>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</si>
  <si>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</si>
  <si>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</si>
  <si>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</si>
  <si>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</si>
  <si>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</si>
  <si>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</si>
  <si>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</si>
  <si>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</si>
  <si>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</si>
  <si>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</si>
  <si>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</si>
  <si>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</si>
  <si>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</si>
  <si>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</si>
  <si>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</si>
  <si>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</si>
  <si>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</si>
  <si>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</si>
  <si>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</si>
  <si>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</si>
  <si>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</si>
  <si>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</si>
  <si>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</si>
  <si>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</si>
  <si>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</si>
  <si>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</si>
  <si>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</si>
  <si>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</si>
  <si>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</si>
  <si>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</si>
  <si>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</si>
  <si>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</si>
  <si>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</si>
  <si>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</si>
  <si>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</si>
  <si>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</si>
  <si>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</si>
  <si>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</si>
  <si>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</si>
  <si>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</si>
  <si>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</si>
  <si>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</si>
  <si>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</si>
  <si>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</si>
  <si>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</si>
  <si>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</si>
  <si>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</si>
  <si>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</si>
  <si>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</si>
  <si>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</si>
  <si>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</si>
  <si>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</si>
  <si>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</si>
  <si>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</si>
  <si>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</si>
  <si>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</si>
  <si>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</si>
  <si>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</si>
  <si>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</si>
  <si>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</si>
  <si>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</si>
  <si>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</si>
  <si>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</si>
  <si>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</si>
  <si>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</si>
  <si>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</si>
  <si>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</si>
  <si>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</si>
  <si>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</si>
  <si>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</si>
  <si>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</si>
  <si>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</si>
  <si>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</si>
  <si>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</si>
  <si>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</si>
  <si>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</si>
  <si>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</si>
  <si>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</si>
  <si>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</si>
  <si>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</si>
  <si>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</si>
  <si>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</si>
  <si>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</si>
  <si>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</si>
  <si>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</si>
  <si>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</si>
  <si>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</si>
  <si>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</si>
  <si>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</si>
  <si>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</si>
  <si>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</si>
  <si>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</si>
  <si>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</si>
  <si>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</si>
  <si>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</si>
  <si>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</si>
  <si>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</si>
  <si>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</si>
  <si>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</si>
  <si>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</si>
  <si>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</si>
  <si>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</si>
  <si>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</si>
  <si>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</si>
  <si>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</si>
  <si>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</si>
  <si>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</si>
  <si>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</si>
  <si>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</si>
  <si>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</si>
  <si>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</si>
  <si>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</si>
  <si>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</si>
  <si>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</si>
  <si>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</si>
  <si>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</si>
  <si>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</si>
  <si>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</si>
  <si>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</si>
  <si>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</si>
  <si>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</si>
  <si>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</si>
  <si>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</si>
  <si>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</si>
  <si>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</si>
  <si>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</si>
  <si>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</si>
  <si>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</si>
  <si>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</si>
  <si>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</si>
  <si>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</si>
  <si>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</si>
  <si>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</si>
  <si>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</si>
  <si>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</si>
  <si>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</si>
  <si>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</si>
  <si>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</si>
  <si>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</si>
  <si>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</si>
  <si>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</si>
  <si>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</si>
  <si>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</si>
  <si>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</si>
  <si>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</si>
  <si>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</si>
  <si>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</si>
  <si>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</si>
  <si>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</si>
  <si>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</si>
  <si>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</si>
  <si>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</si>
  <si>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</si>
  <si>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</si>
  <si>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</si>
  <si>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</si>
  <si>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</si>
  <si>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</si>
  <si>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</si>
  <si>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</si>
  <si>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</si>
  <si>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</si>
  <si>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</si>
  <si>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</si>
  <si>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</si>
  <si>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</si>
  <si>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</si>
  <si>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</si>
  <si>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</si>
  <si>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</si>
  <si>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</si>
  <si>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</si>
  <si>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</si>
  <si>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</si>
  <si>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</si>
  <si>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</si>
  <si>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</si>
  <si>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</si>
  <si>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</si>
  <si>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</si>
  <si>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</si>
  <si>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</si>
  <si>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</si>
  <si>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</si>
  <si>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</si>
  <si>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</si>
  <si>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</si>
  <si>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</si>
  <si>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</si>
  <si>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</si>
  <si>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</si>
  <si>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</si>
  <si>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</si>
  <si>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</si>
  <si>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</si>
  <si>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</si>
  <si>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</si>
  <si>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</si>
  <si>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</si>
  <si>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</si>
  <si>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</si>
  <si>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</si>
  <si>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</si>
  <si>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</si>
  <si>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</si>
  <si>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</si>
  <si>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</si>
  <si>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</si>
  <si>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</si>
  <si>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</si>
  <si>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</si>
  <si>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</si>
  <si>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</si>
  <si>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</si>
  <si>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</si>
  <si>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</si>
  <si>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</si>
  <si>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</si>
  <si>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</si>
  <si>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</si>
  <si>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</si>
  <si>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</si>
  <si>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</si>
  <si>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</si>
  <si>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</si>
  <si>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</si>
  <si>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</si>
  <si>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</si>
  <si>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</si>
  <si>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</si>
  <si>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</si>
  <si>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</si>
  <si>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</si>
  <si>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</si>
  <si>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</si>
  <si>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</si>
  <si>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</si>
  <si>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</si>
  <si>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</si>
  <si>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</si>
  <si>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</si>
  <si>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</si>
  <si>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</si>
  <si>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</si>
  <si>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</si>
  <si>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</si>
  <si>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</si>
  <si>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</si>
  <si>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</si>
  <si>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</si>
  <si>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</si>
  <si>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</si>
  <si>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</si>
  <si>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</si>
  <si>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</si>
  <si>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</si>
  <si>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</si>
  <si>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</si>
  <si>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</si>
  <si>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</si>
  <si>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</si>
  <si>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</si>
  <si>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</si>
  <si>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</si>
  <si>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</si>
  <si>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</si>
  <si>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</si>
  <si>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</si>
  <si>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</si>
  <si>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</si>
  <si>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</si>
  <si>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</si>
  <si>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</si>
  <si>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</si>
  <si>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</si>
  <si>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</si>
  <si>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</si>
  <si>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</si>
  <si>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</si>
  <si>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</si>
  <si>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</si>
  <si>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</si>
  <si>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</si>
  <si>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</si>
  <si>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</si>
  <si>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</si>
  <si>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</si>
  <si>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</si>
  <si>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</si>
  <si>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</si>
  <si>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</si>
  <si>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</si>
  <si>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</si>
  <si>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</si>
  <si>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</si>
  <si>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</si>
  <si>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</si>
  <si>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</si>
  <si>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</si>
  <si>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</si>
  <si>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</si>
  <si>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</si>
  <si>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</si>
  <si>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</si>
  <si>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</si>
  <si>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</si>
  <si>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</si>
  <si>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</si>
  <si>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</si>
  <si>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</si>
  <si>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</si>
  <si>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</si>
  <si>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</si>
  <si>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</si>
  <si>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</si>
  <si>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</si>
  <si>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</si>
  <si>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</si>
  <si>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</si>
  <si>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</si>
  <si>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</si>
  <si>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</si>
  <si>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</si>
  <si>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</si>
  <si>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</si>
  <si>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</si>
  <si>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</si>
  <si>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</si>
  <si>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</si>
  <si>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</si>
  <si>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</si>
  <si>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</si>
  <si>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</si>
  <si>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</si>
  <si>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</si>
  <si>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</si>
  <si>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</si>
  <si>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</si>
  <si>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</si>
  <si>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</si>
  <si>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</si>
  <si>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</si>
  <si>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</si>
  <si>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</si>
  <si>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</si>
  <si>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</si>
  <si>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</si>
  <si>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</si>
  <si>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</si>
  <si>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</si>
  <si>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</si>
  <si>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</si>
  <si>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</si>
  <si>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</si>
  <si>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</si>
  <si>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</si>
  <si>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</si>
  <si>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</si>
  <si>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</si>
  <si>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</si>
  <si>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</si>
  <si>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</si>
  <si>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</si>
  <si>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</si>
  <si>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</si>
  <si>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32030</t>
  </si>
  <si>
    <t>LO-RENINGE</t>
  </si>
  <si>
    <t>Eandis (januari 2018); Infrax (juni 2018)</t>
  </si>
  <si>
    <t>MOW (september 2017)</t>
  </si>
  <si>
    <t>referentietaak LNE (2017); Jaarverslag De Lijn (2016)</t>
  </si>
  <si>
    <t>VEA (april 2018)</t>
  </si>
  <si>
    <t>VEA (januari 2017)</t>
  </si>
  <si>
    <t>VEA (juni 2018)</t>
  </si>
  <si>
    <t>WKK-0678 Hans Mortier</t>
  </si>
  <si>
    <t>interne verbrandingsmotor</t>
  </si>
  <si>
    <t>WKK interne verbrandinsgmotor (gas)</t>
  </si>
  <si>
    <t>Kiviethoek 1 , 8647 Lo-Reninge</t>
  </si>
  <si>
    <t>GASELWEST</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</si>
</sst>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18">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188" xfId="3" applyNumberFormat="1" applyFont="1" applyBorder="1"/>
    <xf numFmtId="0" fontId="0" fillId="0" borderId="188"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31457.452994972598</c:v>
                </c:pt>
                <c:pt idx="1">
                  <c:v>8440.2363175130995</c:v>
                </c:pt>
                <c:pt idx="2">
                  <c:v>197.684</c:v>
                </c:pt>
                <c:pt idx="3">
                  <c:v>30465.374760532795</c:v>
                </c:pt>
                <c:pt idx="4">
                  <c:v>8799.1959444016029</c:v>
                </c:pt>
                <c:pt idx="5">
                  <c:v>16344.252184161121</c:v>
                </c:pt>
                <c:pt idx="6">
                  <c:v>224.87260937104924</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2607232"/>
        <c:axId val="182637696"/>
      </c:barChart>
      <c:catAx>
        <c:axId val="182607232"/>
        <c:scaling>
          <c:orientation val="minMax"/>
        </c:scaling>
        <c:axPos val="b"/>
        <c:numFmt formatCode="General" sourceLinked="0"/>
        <c:tickLblPos val="nextTo"/>
        <c:crossAx val="182637696"/>
        <c:crosses val="autoZero"/>
        <c:auto val="1"/>
        <c:lblAlgn val="ctr"/>
        <c:lblOffset val="100"/>
      </c:catAx>
      <c:valAx>
        <c:axId val="182637696"/>
        <c:scaling>
          <c:orientation val="minMax"/>
        </c:scaling>
        <c:axPos val="l"/>
        <c:majorGridlines/>
        <c:numFmt formatCode="#,##0" sourceLinked="1"/>
        <c:tickLblPos val="nextTo"/>
        <c:crossAx val="18260723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31457.452994972598</c:v>
                </c:pt>
                <c:pt idx="1">
                  <c:v>8440.2363175130995</c:v>
                </c:pt>
                <c:pt idx="2">
                  <c:v>197.684</c:v>
                </c:pt>
                <c:pt idx="3">
                  <c:v>30465.374760532795</c:v>
                </c:pt>
                <c:pt idx="4">
                  <c:v>8799.1959444016029</c:v>
                </c:pt>
                <c:pt idx="5">
                  <c:v>16344.252184161121</c:v>
                </c:pt>
                <c:pt idx="6">
                  <c:v>224.87260937104924</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6014.7179620739053</c:v>
                </c:pt>
                <c:pt idx="1">
                  <c:v>1564.4547061405874</c:v>
                </c:pt>
                <c:pt idx="2">
                  <c:v>35.783431821081372</c:v>
                </c:pt>
                <c:pt idx="3">
                  <c:v>7672.7491258128639</c:v>
                </c:pt>
                <c:pt idx="4">
                  <c:v>1537.9699268725597</c:v>
                </c:pt>
                <c:pt idx="5">
                  <c:v>4085.7622957743388</c:v>
                </c:pt>
                <c:pt idx="6">
                  <c:v>56.814191438926933</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3101696"/>
        <c:axId val="183156736"/>
      </c:barChart>
      <c:catAx>
        <c:axId val="183101696"/>
        <c:scaling>
          <c:orientation val="minMax"/>
        </c:scaling>
        <c:axPos val="b"/>
        <c:numFmt formatCode="General" sourceLinked="0"/>
        <c:tickLblPos val="nextTo"/>
        <c:crossAx val="183156736"/>
        <c:crosses val="autoZero"/>
        <c:auto val="1"/>
        <c:lblAlgn val="ctr"/>
        <c:lblOffset val="100"/>
      </c:catAx>
      <c:valAx>
        <c:axId val="183156736"/>
        <c:scaling>
          <c:orientation val="minMax"/>
        </c:scaling>
        <c:axPos val="l"/>
        <c:majorGridlines/>
        <c:numFmt formatCode="#,##0" sourceLinked="1"/>
        <c:tickLblPos val="nextTo"/>
        <c:crossAx val="18310169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6014.7179620739053</c:v>
                </c:pt>
                <c:pt idx="1">
                  <c:v>1564.4547061405874</c:v>
                </c:pt>
                <c:pt idx="2">
                  <c:v>35.783431821081372</c:v>
                </c:pt>
                <c:pt idx="3">
                  <c:v>7672.7491258128639</c:v>
                </c:pt>
                <c:pt idx="4">
                  <c:v>1537.9699268725597</c:v>
                </c:pt>
                <c:pt idx="5">
                  <c:v>4085.7622957743388</c:v>
                </c:pt>
                <c:pt idx="6">
                  <c:v>56.814191438926933</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32030</v>
      </c>
      <c r="B6" s="415"/>
      <c r="C6" s="416"/>
    </row>
    <row r="7" spans="1:7" s="413" customFormat="1" ht="15.75" customHeight="1">
      <c r="A7" s="417" t="str">
        <f>txtMunicipality</f>
        <v>LO-RENINGE</v>
      </c>
      <c r="B7" s="415"/>
      <c r="C7" s="416"/>
    </row>
    <row r="8" spans="1:7" ht="15.75" thickBot="1">
      <c r="A8" s="45"/>
      <c r="B8" s="108"/>
      <c r="C8" s="109"/>
    </row>
    <row r="9" spans="1:7" s="406" customFormat="1" ht="15.75" thickBot="1">
      <c r="A9" s="430" t="s">
        <v>357</v>
      </c>
      <c r="B9" s="433"/>
      <c r="C9" s="434"/>
    </row>
    <row r="10" spans="1:7" s="15" customFormat="1" ht="57.75" customHeight="1" thickBot="1">
      <c r="A10" s="1015" t="s">
        <v>797</v>
      </c>
      <c r="B10" s="1016"/>
      <c r="C10" s="101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18" t="s">
        <v>520</v>
      </c>
      <c r="C16" s="101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32030</v>
      </c>
      <c r="B1" s="332"/>
      <c r="C1" s="332"/>
      <c r="D1" s="332"/>
      <c r="E1" s="332"/>
      <c r="F1" s="333"/>
    </row>
    <row r="3" spans="1:6" ht="19.5">
      <c r="A3" s="335" t="s">
        <v>0</v>
      </c>
    </row>
    <row r="4" spans="1:6" ht="22.5">
      <c r="A4" s="1211" t="s">
        <v>801</v>
      </c>
    </row>
    <row r="5" spans="1:6" ht="22.5">
      <c r="A5" s="1211" t="s">
        <v>802</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1238</v>
      </c>
      <c r="C9" s="342">
        <v>1300</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5479.9</v>
      </c>
    </row>
    <row r="15" spans="1:6">
      <c r="A15" s="348" t="s">
        <v>184</v>
      </c>
      <c r="B15" s="334">
        <v>92</v>
      </c>
    </row>
    <row r="16" spans="1:6">
      <c r="A16" s="348" t="s">
        <v>6</v>
      </c>
      <c r="B16" s="334">
        <v>3513</v>
      </c>
    </row>
    <row r="17" spans="1:6">
      <c r="A17" s="348" t="s">
        <v>7</v>
      </c>
      <c r="B17" s="334">
        <v>1997</v>
      </c>
    </row>
    <row r="18" spans="1:6">
      <c r="A18" s="348" t="s">
        <v>8</v>
      </c>
      <c r="B18" s="334">
        <v>3350</v>
      </c>
    </row>
    <row r="19" spans="1:6">
      <c r="A19" s="348" t="s">
        <v>9</v>
      </c>
      <c r="B19" s="334">
        <v>2803</v>
      </c>
    </row>
    <row r="20" spans="1:6">
      <c r="A20" s="348" t="s">
        <v>10</v>
      </c>
      <c r="B20" s="334">
        <v>1667</v>
      </c>
    </row>
    <row r="21" spans="1:6">
      <c r="A21" s="348" t="s">
        <v>11</v>
      </c>
      <c r="B21" s="334">
        <v>36761</v>
      </c>
    </row>
    <row r="22" spans="1:6">
      <c r="A22" s="348" t="s">
        <v>12</v>
      </c>
      <c r="B22" s="334">
        <v>55938</v>
      </c>
    </row>
    <row r="23" spans="1:6">
      <c r="A23" s="348" t="s">
        <v>13</v>
      </c>
      <c r="B23" s="334">
        <v>1813</v>
      </c>
    </row>
    <row r="24" spans="1:6">
      <c r="A24" s="348" t="s">
        <v>14</v>
      </c>
      <c r="B24" s="334">
        <v>62</v>
      </c>
    </row>
    <row r="25" spans="1:6">
      <c r="A25" s="348" t="s">
        <v>15</v>
      </c>
      <c r="B25" s="334">
        <v>8954</v>
      </c>
    </row>
    <row r="26" spans="1:6">
      <c r="A26" s="348" t="s">
        <v>16</v>
      </c>
      <c r="B26" s="334">
        <v>1241</v>
      </c>
    </row>
    <row r="27" spans="1:6">
      <c r="A27" s="348" t="s">
        <v>17</v>
      </c>
      <c r="B27" s="334">
        <v>609</v>
      </c>
    </row>
    <row r="28" spans="1:6" s="356" customFormat="1">
      <c r="A28" s="355" t="s">
        <v>18</v>
      </c>
      <c r="B28" s="355">
        <v>411162</v>
      </c>
    </row>
    <row r="29" spans="1:6">
      <c r="A29" s="355" t="s">
        <v>744</v>
      </c>
      <c r="B29" s="355">
        <v>55</v>
      </c>
      <c r="C29" s="356"/>
      <c r="D29" s="356"/>
      <c r="E29" s="356"/>
      <c r="F29" s="356"/>
    </row>
    <row r="30" spans="1:6">
      <c r="A30" s="341" t="s">
        <v>745</v>
      </c>
      <c r="B30" s="341">
        <v>15</v>
      </c>
      <c r="C30" s="342"/>
      <c r="D30" s="342"/>
      <c r="E30" s="342"/>
      <c r="F30" s="342"/>
    </row>
    <row r="31" spans="1:6" ht="15.75" thickBot="1">
      <c r="A31" s="343"/>
    </row>
    <row r="32" spans="1:6" ht="20.25" thickBot="1">
      <c r="A32" s="336" t="s">
        <v>19</v>
      </c>
      <c r="B32" s="337" t="s">
        <v>394</v>
      </c>
      <c r="C32" s="337" t="s">
        <v>803</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1</v>
      </c>
      <c r="F38" s="334">
        <v>8969</v>
      </c>
    </row>
    <row r="39" spans="1:6">
      <c r="A39" s="348" t="s">
        <v>30</v>
      </c>
      <c r="B39" s="348" t="s">
        <v>31</v>
      </c>
      <c r="C39" s="334">
        <v>568</v>
      </c>
      <c r="D39" s="334">
        <v>8741318.9930420201</v>
      </c>
      <c r="E39" s="334">
        <v>1060</v>
      </c>
      <c r="F39" s="334">
        <v>4095843.6687029498</v>
      </c>
    </row>
    <row r="40" spans="1:6">
      <c r="A40" s="348" t="s">
        <v>30</v>
      </c>
      <c r="B40" s="348" t="s">
        <v>29</v>
      </c>
      <c r="C40" s="334">
        <v>0</v>
      </c>
      <c r="D40" s="334">
        <v>0</v>
      </c>
      <c r="E40" s="334">
        <v>0</v>
      </c>
      <c r="F40" s="334">
        <v>0</v>
      </c>
    </row>
    <row r="41" spans="1:6">
      <c r="A41" s="348" t="s">
        <v>32</v>
      </c>
      <c r="B41" s="348" t="s">
        <v>33</v>
      </c>
      <c r="C41" s="334">
        <v>6</v>
      </c>
      <c r="D41" s="334">
        <v>111041.89229255699</v>
      </c>
      <c r="E41" s="334">
        <v>32</v>
      </c>
      <c r="F41" s="334">
        <v>683570.38909031102</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8</v>
      </c>
      <c r="F44" s="334">
        <v>762772.95037543995</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14</v>
      </c>
      <c r="D48" s="334">
        <v>266111.72134200402</v>
      </c>
      <c r="E48" s="334">
        <v>27</v>
      </c>
      <c r="F48" s="334">
        <v>4015887.0908051301</v>
      </c>
    </row>
    <row r="49" spans="1:6">
      <c r="A49" s="348" t="s">
        <v>32</v>
      </c>
      <c r="B49" s="348" t="s">
        <v>40</v>
      </c>
      <c r="C49" s="334">
        <v>0</v>
      </c>
      <c r="D49" s="334">
        <v>0</v>
      </c>
      <c r="E49" s="334">
        <v>0</v>
      </c>
      <c r="F49" s="334">
        <v>0</v>
      </c>
    </row>
    <row r="50" spans="1:6">
      <c r="A50" s="348" t="s">
        <v>32</v>
      </c>
      <c r="B50" s="348" t="s">
        <v>41</v>
      </c>
      <c r="C50" s="334">
        <v>0</v>
      </c>
      <c r="D50" s="334">
        <v>0</v>
      </c>
      <c r="E50" s="334">
        <v>0</v>
      </c>
      <c r="F50" s="334">
        <v>0</v>
      </c>
    </row>
    <row r="51" spans="1:6">
      <c r="A51" s="348" t="s">
        <v>42</v>
      </c>
      <c r="B51" s="348" t="s">
        <v>43</v>
      </c>
      <c r="C51" s="334">
        <v>8</v>
      </c>
      <c r="D51" s="334">
        <v>98612.4031701762</v>
      </c>
      <c r="E51" s="334">
        <v>147</v>
      </c>
      <c r="F51" s="334">
        <v>5411708.7983140396</v>
      </c>
    </row>
    <row r="52" spans="1:6">
      <c r="A52" s="348" t="s">
        <v>42</v>
      </c>
      <c r="B52" s="348" t="s">
        <v>29</v>
      </c>
      <c r="C52" s="334">
        <v>5</v>
      </c>
      <c r="D52" s="334">
        <v>289499.07333546103</v>
      </c>
      <c r="E52" s="334">
        <v>9</v>
      </c>
      <c r="F52" s="334">
        <v>168216.00548388</v>
      </c>
    </row>
    <row r="53" spans="1:6">
      <c r="A53" s="348" t="s">
        <v>44</v>
      </c>
      <c r="B53" s="348" t="s">
        <v>45</v>
      </c>
      <c r="C53" s="334">
        <v>18</v>
      </c>
      <c r="D53" s="334">
        <v>340236.17695938703</v>
      </c>
      <c r="E53" s="334">
        <v>59</v>
      </c>
      <c r="F53" s="334">
        <v>417232.41653805401</v>
      </c>
    </row>
    <row r="54" spans="1:6">
      <c r="A54" s="348" t="s">
        <v>46</v>
      </c>
      <c r="B54" s="348" t="s">
        <v>47</v>
      </c>
      <c r="C54" s="334">
        <v>0</v>
      </c>
      <c r="D54" s="334">
        <v>0</v>
      </c>
      <c r="E54" s="334">
        <v>1</v>
      </c>
      <c r="F54" s="334">
        <v>197684</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9</v>
      </c>
      <c r="D57" s="334">
        <v>520809.24236750201</v>
      </c>
      <c r="E57" s="334">
        <v>52</v>
      </c>
      <c r="F57" s="334">
        <v>464593.30476329703</v>
      </c>
    </row>
    <row r="58" spans="1:6">
      <c r="A58" s="348" t="s">
        <v>49</v>
      </c>
      <c r="B58" s="348" t="s">
        <v>51</v>
      </c>
      <c r="C58" s="334">
        <v>0</v>
      </c>
      <c r="D58" s="334">
        <v>0</v>
      </c>
      <c r="E58" s="334">
        <v>8</v>
      </c>
      <c r="F58" s="334">
        <v>59402.014600746501</v>
      </c>
    </row>
    <row r="59" spans="1:6">
      <c r="A59" s="348" t="s">
        <v>49</v>
      </c>
      <c r="B59" s="348" t="s">
        <v>52</v>
      </c>
      <c r="C59" s="334">
        <v>3</v>
      </c>
      <c r="D59" s="334">
        <v>117992.78901131199</v>
      </c>
      <c r="E59" s="334">
        <v>22</v>
      </c>
      <c r="F59" s="334">
        <v>830669.19583104399</v>
      </c>
    </row>
    <row r="60" spans="1:6">
      <c r="A60" s="348" t="s">
        <v>49</v>
      </c>
      <c r="B60" s="348" t="s">
        <v>53</v>
      </c>
      <c r="C60" s="334">
        <v>9</v>
      </c>
      <c r="D60" s="334">
        <v>230771.56384519901</v>
      </c>
      <c r="E60" s="334">
        <v>18</v>
      </c>
      <c r="F60" s="334">
        <v>388977.12151396001</v>
      </c>
    </row>
    <row r="61" spans="1:6">
      <c r="A61" s="348" t="s">
        <v>49</v>
      </c>
      <c r="B61" s="348" t="s">
        <v>54</v>
      </c>
      <c r="C61" s="334">
        <v>0</v>
      </c>
      <c r="D61" s="334">
        <v>0</v>
      </c>
      <c r="E61" s="334">
        <v>44</v>
      </c>
      <c r="F61" s="334">
        <v>402625.14364223898</v>
      </c>
    </row>
    <row r="62" spans="1:6">
      <c r="A62" s="348" t="s">
        <v>49</v>
      </c>
      <c r="B62" s="348" t="s">
        <v>55</v>
      </c>
      <c r="C62" s="334">
        <v>4</v>
      </c>
      <c r="D62" s="334">
        <v>186681.63429952</v>
      </c>
      <c r="E62" s="334">
        <v>4</v>
      </c>
      <c r="F62" s="334">
        <v>27050.368967819799</v>
      </c>
    </row>
    <row r="63" spans="1:6">
      <c r="A63" s="348" t="s">
        <v>49</v>
      </c>
      <c r="B63" s="348" t="s">
        <v>29</v>
      </c>
      <c r="C63" s="334">
        <v>46</v>
      </c>
      <c r="D63" s="334">
        <v>3244398.2513742698</v>
      </c>
      <c r="E63" s="334">
        <v>54</v>
      </c>
      <c r="F63" s="334">
        <v>1178370.2855593499</v>
      </c>
    </row>
    <row r="64" spans="1:6">
      <c r="A64" s="348" t="s">
        <v>56</v>
      </c>
      <c r="B64" s="348" t="s">
        <v>57</v>
      </c>
      <c r="C64" s="334">
        <v>0</v>
      </c>
      <c r="D64" s="334">
        <v>0</v>
      </c>
      <c r="E64" s="334">
        <v>0</v>
      </c>
      <c r="F64" s="334">
        <v>0</v>
      </c>
    </row>
    <row r="65" spans="1:6">
      <c r="A65" s="348" t="s">
        <v>56</v>
      </c>
      <c r="B65" s="348" t="s">
        <v>29</v>
      </c>
      <c r="C65" s="334">
        <v>0</v>
      </c>
      <c r="D65" s="334">
        <v>0</v>
      </c>
      <c r="E65" s="334">
        <v>0</v>
      </c>
      <c r="F65" s="334">
        <v>0</v>
      </c>
    </row>
    <row r="66" spans="1:6">
      <c r="A66" s="348" t="s">
        <v>56</v>
      </c>
      <c r="B66" s="348" t="s">
        <v>58</v>
      </c>
      <c r="C66" s="334">
        <v>0</v>
      </c>
      <c r="D66" s="334">
        <v>0</v>
      </c>
      <c r="E66" s="334">
        <v>3</v>
      </c>
      <c r="F66" s="334">
        <v>18402.145087046199</v>
      </c>
    </row>
    <row r="67" spans="1:6">
      <c r="A67" s="355" t="s">
        <v>56</v>
      </c>
      <c r="B67" s="355" t="s">
        <v>59</v>
      </c>
      <c r="C67" s="334">
        <v>0</v>
      </c>
      <c r="D67" s="334">
        <v>0</v>
      </c>
      <c r="E67" s="334">
        <v>0</v>
      </c>
      <c r="F67" s="334">
        <v>0</v>
      </c>
    </row>
    <row r="68" spans="1:6">
      <c r="A68" s="341" t="s">
        <v>56</v>
      </c>
      <c r="B68" s="341" t="s">
        <v>60</v>
      </c>
      <c r="C68" s="334">
        <v>0</v>
      </c>
      <c r="D68" s="334">
        <v>0</v>
      </c>
      <c r="E68" s="334">
        <v>6</v>
      </c>
      <c r="F68" s="334">
        <v>39523.786575101403</v>
      </c>
    </row>
    <row r="69" spans="1:6" ht="15.75" thickBot="1">
      <c r="A69" s="343"/>
    </row>
    <row r="70" spans="1:6" ht="19.5">
      <c r="A70" s="336" t="s">
        <v>61</v>
      </c>
      <c r="B70" s="337"/>
      <c r="C70" s="337" t="s">
        <v>404</v>
      </c>
      <c r="D70" s="337" t="s">
        <v>804</v>
      </c>
      <c r="E70" s="337"/>
      <c r="F70" s="344"/>
    </row>
    <row r="71" spans="1:6" ht="20.25" thickBot="1">
      <c r="A71" s="357"/>
      <c r="B71" s="358"/>
      <c r="C71" s="358"/>
      <c r="D71" s="359" t="s">
        <v>442</v>
      </c>
      <c r="E71" s="358"/>
      <c r="F71" s="360"/>
    </row>
    <row r="72" spans="1:6" ht="16.5" thickTop="1" thickBot="1">
      <c r="A72" s="345" t="s">
        <v>62</v>
      </c>
      <c r="B72" s="346" t="s">
        <v>63</v>
      </c>
      <c r="C72" s="1212" t="s">
        <v>674</v>
      </c>
      <c r="D72" s="361">
        <v>2016</v>
      </c>
      <c r="E72" s="361">
        <v>2020</v>
      </c>
      <c r="F72" s="347"/>
    </row>
    <row r="73" spans="1:6">
      <c r="A73" s="348" t="s">
        <v>64</v>
      </c>
      <c r="B73" s="348" t="s">
        <v>656</v>
      </c>
      <c r="C73" s="1213" t="s">
        <v>658</v>
      </c>
      <c r="D73" s="476">
        <v>6360651</v>
      </c>
      <c r="E73" s="476">
        <v>9342744.8588304818</v>
      </c>
    </row>
    <row r="74" spans="1:6">
      <c r="A74" s="348" t="s">
        <v>64</v>
      </c>
      <c r="B74" s="348" t="s">
        <v>657</v>
      </c>
      <c r="C74" s="1213" t="s">
        <v>659</v>
      </c>
      <c r="D74" s="476">
        <v>716564.39504879876</v>
      </c>
      <c r="E74" s="476">
        <v>1079422.7325338374</v>
      </c>
    </row>
    <row r="75" spans="1:6">
      <c r="A75" s="348" t="s">
        <v>65</v>
      </c>
      <c r="B75" s="348" t="s">
        <v>656</v>
      </c>
      <c r="C75" s="1213" t="s">
        <v>660</v>
      </c>
      <c r="D75" s="476">
        <v>10126157</v>
      </c>
      <c r="E75" s="476">
        <v>12224142.346071512</v>
      </c>
    </row>
    <row r="76" spans="1:6">
      <c r="A76" s="348" t="s">
        <v>65</v>
      </c>
      <c r="B76" s="348" t="s">
        <v>657</v>
      </c>
      <c r="C76" s="1213" t="s">
        <v>661</v>
      </c>
      <c r="D76" s="476">
        <v>377894.3950487987</v>
      </c>
      <c r="E76" s="476">
        <v>524336.96056464862</v>
      </c>
    </row>
    <row r="77" spans="1:6">
      <c r="A77" s="348" t="s">
        <v>66</v>
      </c>
      <c r="B77" s="348" t="s">
        <v>656</v>
      </c>
      <c r="C77" s="1213" t="s">
        <v>662</v>
      </c>
      <c r="D77" s="476">
        <v>0</v>
      </c>
      <c r="E77" s="476">
        <v>0</v>
      </c>
    </row>
    <row r="78" spans="1:6">
      <c r="A78" s="341" t="s">
        <v>66</v>
      </c>
      <c r="B78" s="341" t="s">
        <v>657</v>
      </c>
      <c r="C78" s="341" t="s">
        <v>663</v>
      </c>
      <c r="D78" s="1214">
        <v>0</v>
      </c>
      <c r="E78" s="1214">
        <v>0</v>
      </c>
      <c r="F78" s="342"/>
    </row>
    <row r="79" spans="1:6">
      <c r="A79" s="362"/>
      <c r="B79" s="362"/>
    </row>
    <row r="80" spans="1:6" ht="15.75" thickBot="1">
      <c r="A80" s="362"/>
      <c r="B80" s="362"/>
    </row>
    <row r="81" spans="1:6" ht="20.25" thickBot="1">
      <c r="A81" s="336" t="s">
        <v>334</v>
      </c>
      <c r="B81" s="363" t="s">
        <v>394</v>
      </c>
      <c r="C81" s="337" t="s">
        <v>805</v>
      </c>
      <c r="D81" s="337"/>
      <c r="E81" s="337"/>
      <c r="F81" s="344"/>
    </row>
    <row r="82" spans="1:6" ht="16.5" thickTop="1" thickBot="1">
      <c r="A82" s="345" t="s">
        <v>335</v>
      </c>
      <c r="B82" s="361">
        <v>2016</v>
      </c>
      <c r="C82" s="361">
        <v>2020</v>
      </c>
      <c r="D82" s="346"/>
      <c r="E82" s="346"/>
      <c r="F82" s="347"/>
    </row>
    <row r="83" spans="1:6">
      <c r="A83" s="348" t="s">
        <v>336</v>
      </c>
      <c r="B83" s="476">
        <v>60989.209902402559</v>
      </c>
      <c r="C83" s="476">
        <v>60938.166105405289</v>
      </c>
    </row>
    <row r="84" spans="1:6">
      <c r="A84" s="341" t="s">
        <v>337</v>
      </c>
      <c r="B84" s="1214">
        <v>0</v>
      </c>
      <c r="C84" s="1214">
        <v>0</v>
      </c>
      <c r="D84" s="342"/>
      <c r="E84" s="342"/>
      <c r="F84" s="342"/>
    </row>
    <row r="85" spans="1:6">
      <c r="A85" s="362"/>
      <c r="B85" s="364"/>
    </row>
    <row r="86" spans="1:6" ht="15.75" thickBot="1">
      <c r="A86" s="343"/>
    </row>
    <row r="87" spans="1:6" ht="20.25" thickBot="1">
      <c r="A87" s="336" t="s">
        <v>67</v>
      </c>
      <c r="B87" s="337" t="s">
        <v>394</v>
      </c>
      <c r="C87" s="337" t="s">
        <v>806</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15">
        <v>0</v>
      </c>
    </row>
    <row r="91" spans="1:6">
      <c r="A91" s="348" t="s">
        <v>68</v>
      </c>
      <c r="B91" s="334">
        <v>1407.3121428163688</v>
      </c>
    </row>
    <row r="92" spans="1:6">
      <c r="A92" s="341" t="s">
        <v>69</v>
      </c>
      <c r="B92" s="342">
        <v>2222.4243151135038</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332</v>
      </c>
    </row>
    <row r="98" spans="1:6">
      <c r="A98" s="348" t="s">
        <v>72</v>
      </c>
      <c r="B98" s="334">
        <v>0</v>
      </c>
    </row>
    <row r="99" spans="1:6">
      <c r="A99" s="348" t="s">
        <v>73</v>
      </c>
      <c r="B99" s="334">
        <v>88</v>
      </c>
    </row>
    <row r="100" spans="1:6">
      <c r="A100" s="348" t="s">
        <v>74</v>
      </c>
      <c r="B100" s="334">
        <v>82</v>
      </c>
    </row>
    <row r="101" spans="1:6">
      <c r="A101" s="348" t="s">
        <v>75</v>
      </c>
      <c r="B101" s="334">
        <v>55</v>
      </c>
    </row>
    <row r="102" spans="1:6">
      <c r="A102" s="348" t="s">
        <v>76</v>
      </c>
      <c r="B102" s="334">
        <v>21</v>
      </c>
    </row>
    <row r="103" spans="1:6">
      <c r="A103" s="348" t="s">
        <v>77</v>
      </c>
      <c r="B103" s="334">
        <v>98</v>
      </c>
    </row>
    <row r="104" spans="1:6">
      <c r="A104" s="348" t="s">
        <v>78</v>
      </c>
      <c r="B104" s="334">
        <v>491</v>
      </c>
    </row>
    <row r="105" spans="1:6">
      <c r="A105" s="341" t="s">
        <v>79</v>
      </c>
      <c r="B105" s="341">
        <v>1</v>
      </c>
      <c r="C105" s="342"/>
      <c r="D105" s="342"/>
      <c r="E105" s="342"/>
      <c r="F105" s="342"/>
    </row>
    <row r="106" spans="1:6">
      <c r="A106" s="343"/>
    </row>
    <row r="107" spans="1:6" ht="15.75" thickBot="1">
      <c r="A107" s="343"/>
    </row>
    <row r="108" spans="1:6" ht="20.25" thickBot="1">
      <c r="A108" s="336" t="s">
        <v>645</v>
      </c>
      <c r="B108" s="337" t="s">
        <v>394</v>
      </c>
      <c r="C108" s="337" t="s">
        <v>807</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16" t="s">
        <v>647</v>
      </c>
      <c r="B111" s="1217">
        <v>0</v>
      </c>
      <c r="C111" s="1217"/>
      <c r="D111" s="1217"/>
      <c r="E111" s="1217"/>
      <c r="F111" s="1217"/>
    </row>
    <row r="112" spans="1:6">
      <c r="A112" s="348"/>
    </row>
    <row r="113" spans="1:6" ht="15.75" thickBot="1">
      <c r="A113" s="341"/>
      <c r="B113" s="342"/>
      <c r="C113" s="342"/>
      <c r="D113" s="342"/>
      <c r="E113" s="342"/>
      <c r="F113" s="342"/>
    </row>
    <row r="114" spans="1:6" ht="20.25" thickBot="1">
      <c r="A114" s="336" t="s">
        <v>80</v>
      </c>
      <c r="B114" s="337" t="s">
        <v>394</v>
      </c>
      <c r="C114" s="337" t="s">
        <v>808</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6</v>
      </c>
      <c r="C123" s="334">
        <v>6</v>
      </c>
    </row>
    <row r="124" spans="1:6">
      <c r="A124" s="341" t="s">
        <v>89</v>
      </c>
      <c r="B124" s="334">
        <v>1</v>
      </c>
      <c r="C124" s="334">
        <v>0</v>
      </c>
      <c r="D124" s="342"/>
      <c r="E124" s="342"/>
      <c r="F124" s="342"/>
    </row>
    <row r="125" spans="1:6">
      <c r="A125" s="362"/>
    </row>
    <row r="126" spans="1:6" ht="15.75" thickBot="1">
      <c r="A126" s="362"/>
    </row>
    <row r="127" spans="1:6" ht="20.25" thickBot="1">
      <c r="A127" s="336" t="s">
        <v>293</v>
      </c>
      <c r="B127" s="337" t="s">
        <v>394</v>
      </c>
      <c r="C127" s="337" t="s">
        <v>807</v>
      </c>
      <c r="D127" s="337"/>
      <c r="E127" s="337"/>
      <c r="F127" s="344"/>
    </row>
    <row r="128" spans="1:6" ht="16.5" thickTop="1" thickBot="1">
      <c r="A128" s="345" t="s">
        <v>4</v>
      </c>
      <c r="B128" s="346" t="s">
        <v>5</v>
      </c>
      <c r="C128" s="346"/>
      <c r="D128" s="346"/>
      <c r="E128" s="346"/>
      <c r="F128" s="347"/>
    </row>
    <row r="129" spans="1:6">
      <c r="A129" s="348" t="s">
        <v>294</v>
      </c>
      <c r="B129" s="334">
        <v>62</v>
      </c>
    </row>
    <row r="130" spans="1:6">
      <c r="A130" s="348" t="s">
        <v>295</v>
      </c>
      <c r="B130" s="334">
        <v>0</v>
      </c>
    </row>
    <row r="131" spans="1:6">
      <c r="A131" s="348" t="s">
        <v>296</v>
      </c>
      <c r="B131" s="334">
        <v>2</v>
      </c>
    </row>
    <row r="132" spans="1:6">
      <c r="A132" s="341" t="s">
        <v>297</v>
      </c>
      <c r="B132" s="342">
        <v>6</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20101.168445362331</v>
      </c>
      <c r="C3" s="43" t="s">
        <v>170</v>
      </c>
      <c r="D3" s="43"/>
      <c r="E3" s="154"/>
      <c r="F3" s="43"/>
      <c r="G3" s="43"/>
      <c r="H3" s="43"/>
      <c r="I3" s="43"/>
      <c r="J3" s="43"/>
      <c r="K3" s="96"/>
    </row>
    <row r="4" spans="1:11">
      <c r="A4" s="383" t="s">
        <v>171</v>
      </c>
      <c r="B4" s="49">
        <f>IF(ISERROR('SEAP template'!B69),0,'SEAP template'!B69)</f>
        <v>3637.0114579298729</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0.18101329303879612</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0</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10.392857142857141</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17">
        <v>2016</v>
      </c>
      <c r="B1" s="111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19"/>
      <c r="B2" s="112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19"/>
      <c r="B3" s="112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21"/>
      <c r="B4" s="112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23" t="s">
        <v>471</v>
      </c>
      <c r="B2" s="1124"/>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25" t="s">
        <v>194</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197.684</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197.684</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0.18101329303879612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35.783431821081372</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8" activePane="bottomRight" state="frozen"/>
      <selection activeCell="B35" sqref="B35"/>
      <selection pane="topRight" activeCell="B35" sqref="B35"/>
      <selection pane="bottomLeft" activeCell="B35" sqref="B35"/>
      <selection pane="bottomRight" activeCell="A32" sqref="A3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25" t="s">
        <v>155</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4095.8436687029498</v>
      </c>
      <c r="C5" s="17">
        <f>IF(ISERROR('Eigen informatie GS &amp; warmtenet'!B57),0,'Eigen informatie GS &amp; warmtenet'!B57)</f>
        <v>0</v>
      </c>
      <c r="D5" s="30">
        <f>(SUM(HH_hh_gas_kWh,HH_rest_gas_kWh)/1000)*0.902</f>
        <v>7884.6697317239014</v>
      </c>
      <c r="E5" s="17">
        <f>B46*B57</f>
        <v>2517.4742969389954</v>
      </c>
      <c r="F5" s="17">
        <f>B51*B62</f>
        <v>7212.4766583201572</v>
      </c>
      <c r="G5" s="18"/>
      <c r="H5" s="17"/>
      <c r="I5" s="17"/>
      <c r="J5" s="17">
        <f>B50*B61+C50*C61</f>
        <v>2623.3683263851508</v>
      </c>
      <c r="K5" s="17"/>
      <c r="L5" s="17"/>
      <c r="M5" s="17"/>
      <c r="N5" s="17">
        <f>B48*B59+C48*C59</f>
        <v>5362.1348367517412</v>
      </c>
      <c r="O5" s="17">
        <f>B69*B70*B71</f>
        <v>106.30666666666667</v>
      </c>
      <c r="P5" s="17">
        <f>B77*B78*B79/1000-B77*B78*B79/1000/B80</f>
        <v>247.86666666666667</v>
      </c>
    </row>
    <row r="6" spans="1:16">
      <c r="A6" s="16" t="s">
        <v>621</v>
      </c>
      <c r="B6" s="843">
        <f>kWh_PV_kleiner_dan_10kW</f>
        <v>1407.3121428163688</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5503.1558115193184</v>
      </c>
      <c r="C8" s="21">
        <f>C5</f>
        <v>0</v>
      </c>
      <c r="D8" s="21">
        <f>D5</f>
        <v>7884.6697317239014</v>
      </c>
      <c r="E8" s="21">
        <f>E5</f>
        <v>2517.4742969389954</v>
      </c>
      <c r="F8" s="21">
        <f>F5</f>
        <v>7212.4766583201572</v>
      </c>
      <c r="G8" s="21"/>
      <c r="H8" s="21"/>
      <c r="I8" s="21"/>
      <c r="J8" s="21">
        <f>J5</f>
        <v>2623.3683263851508</v>
      </c>
      <c r="K8" s="21"/>
      <c r="L8" s="21">
        <f>L5</f>
        <v>0</v>
      </c>
      <c r="M8" s="21">
        <f>M5</f>
        <v>0</v>
      </c>
      <c r="N8" s="21">
        <f>N5</f>
        <v>5362.1348367517412</v>
      </c>
      <c r="O8" s="21">
        <f>O5</f>
        <v>106.30666666666667</v>
      </c>
      <c r="P8" s="21">
        <f>P5</f>
        <v>247.86666666666667</v>
      </c>
    </row>
    <row r="9" spans="1:16">
      <c r="B9" s="19"/>
      <c r="C9" s="19"/>
      <c r="D9" s="258"/>
      <c r="E9" s="19"/>
      <c r="F9" s="19"/>
      <c r="G9" s="19"/>
      <c r="H9" s="19"/>
      <c r="I9" s="19"/>
      <c r="J9" s="19"/>
      <c r="K9" s="19"/>
      <c r="L9" s="19"/>
      <c r="M9" s="19"/>
      <c r="N9" s="19"/>
      <c r="O9" s="19"/>
      <c r="P9" s="19"/>
    </row>
    <row r="10" spans="1:16">
      <c r="A10" s="24" t="s">
        <v>214</v>
      </c>
      <c r="B10" s="25">
        <f ca="1">'EF ele_warmte'!B12</f>
        <v>0.18101329303879612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996.14435554870022</v>
      </c>
      <c r="C12" s="23">
        <f ca="1">C10*C8</f>
        <v>0</v>
      </c>
      <c r="D12" s="23">
        <f>D8*D10</f>
        <v>1592.7032858082282</v>
      </c>
      <c r="E12" s="23">
        <f>E10*E8</f>
        <v>571.46666540515196</v>
      </c>
      <c r="F12" s="23">
        <f>F10*F8</f>
        <v>1925.7312677714822</v>
      </c>
      <c r="G12" s="23"/>
      <c r="H12" s="23"/>
      <c r="I12" s="23"/>
      <c r="J12" s="23">
        <f>J10*J8</f>
        <v>928.67238754034338</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332</v>
      </c>
      <c r="C18" s="166" t="s">
        <v>111</v>
      </c>
      <c r="D18" s="228"/>
      <c r="E18" s="15"/>
    </row>
    <row r="19" spans="1:7">
      <c r="A19" s="171" t="s">
        <v>72</v>
      </c>
      <c r="B19" s="37">
        <f>aantalw2001_ander</f>
        <v>0</v>
      </c>
      <c r="C19" s="166" t="s">
        <v>111</v>
      </c>
      <c r="D19" s="229"/>
      <c r="E19" s="15"/>
    </row>
    <row r="20" spans="1:7">
      <c r="A20" s="171" t="s">
        <v>73</v>
      </c>
      <c r="B20" s="37">
        <f>aantalw2001_propaan</f>
        <v>88</v>
      </c>
      <c r="C20" s="167">
        <f>IF(ISERROR(B20/SUM($B$20,$B$21,$B$22)*100),0,B20/SUM($B$20,$B$21,$B$22)*100)</f>
        <v>39.111111111111114</v>
      </c>
      <c r="D20" s="229"/>
      <c r="E20" s="15"/>
    </row>
    <row r="21" spans="1:7">
      <c r="A21" s="171" t="s">
        <v>74</v>
      </c>
      <c r="B21" s="37">
        <f>aantalw2001_elektriciteit</f>
        <v>82</v>
      </c>
      <c r="C21" s="167">
        <f>IF(ISERROR(B21/SUM($B$20,$B$21,$B$22)*100),0,B21/SUM($B$20,$B$21,$B$22)*100)</f>
        <v>36.444444444444443</v>
      </c>
      <c r="D21" s="229"/>
      <c r="E21" s="15"/>
    </row>
    <row r="22" spans="1:7">
      <c r="A22" s="171" t="s">
        <v>75</v>
      </c>
      <c r="B22" s="37">
        <f>aantalw2001_hout</f>
        <v>55</v>
      </c>
      <c r="C22" s="167">
        <f>IF(ISERROR(B22/SUM($B$20,$B$21,$B$22)*100),0,B22/SUM($B$20,$B$21,$B$22)*100)</f>
        <v>24.444444444444443</v>
      </c>
      <c r="D22" s="229"/>
      <c r="E22" s="15"/>
    </row>
    <row r="23" spans="1:7">
      <c r="A23" s="171" t="s">
        <v>76</v>
      </c>
      <c r="B23" s="37">
        <f>aantalw2001_niet_gespec</f>
        <v>21</v>
      </c>
      <c r="C23" s="166" t="s">
        <v>111</v>
      </c>
      <c r="D23" s="228"/>
      <c r="E23" s="15"/>
    </row>
    <row r="24" spans="1:7">
      <c r="A24" s="171" t="s">
        <v>77</v>
      </c>
      <c r="B24" s="37">
        <f>aantalw2001_steenkool</f>
        <v>98</v>
      </c>
      <c r="C24" s="166" t="s">
        <v>111</v>
      </c>
      <c r="D24" s="229"/>
      <c r="E24" s="15"/>
    </row>
    <row r="25" spans="1:7">
      <c r="A25" s="171" t="s">
        <v>78</v>
      </c>
      <c r="B25" s="37">
        <f>aantalw2001_stookolie</f>
        <v>491</v>
      </c>
      <c r="C25" s="166" t="s">
        <v>111</v>
      </c>
      <c r="D25" s="228"/>
      <c r="E25" s="52"/>
    </row>
    <row r="26" spans="1:7">
      <c r="A26" s="171" t="s">
        <v>79</v>
      </c>
      <c r="B26" s="37">
        <f>aantalw2001_WP</f>
        <v>1</v>
      </c>
      <c r="C26" s="166" t="s">
        <v>111</v>
      </c>
      <c r="D26" s="228"/>
      <c r="E26" s="15"/>
    </row>
    <row r="27" spans="1:7" s="15" customFormat="1">
      <c r="A27" s="171"/>
      <c r="B27" s="29"/>
      <c r="C27" s="36"/>
      <c r="D27" s="228"/>
    </row>
    <row r="28" spans="1:7" s="15" customFormat="1">
      <c r="A28" s="230" t="s">
        <v>794</v>
      </c>
      <c r="B28" s="37">
        <f>aantalHuishoudens2011</f>
        <v>1238</v>
      </c>
      <c r="C28" s="36"/>
      <c r="D28" s="228"/>
    </row>
    <row r="29" spans="1:7" s="15" customFormat="1">
      <c r="A29" s="230" t="s">
        <v>795</v>
      </c>
      <c r="B29" s="37">
        <f>SUM(HH_hh_gas_aantal,HH_rest_gas_aantal)</f>
        <v>568</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568</v>
      </c>
      <c r="C32" s="167">
        <f>IF(ISERROR(B32/SUM($B$32,$B$34,$B$35,$B$36,$B$38,$B$39)*100),0,B32/SUM($B$32,$B$34,$B$35,$B$36,$B$38,$B$39)*100)</f>
        <v>46.367346938775512</v>
      </c>
      <c r="D32" s="233"/>
      <c r="G32" s="15"/>
    </row>
    <row r="33" spans="1:7">
      <c r="A33" s="171" t="s">
        <v>72</v>
      </c>
      <c r="B33" s="34" t="s">
        <v>111</v>
      </c>
      <c r="C33" s="167"/>
      <c r="D33" s="233"/>
      <c r="G33" s="15"/>
    </row>
    <row r="34" spans="1:7">
      <c r="A34" s="171" t="s">
        <v>73</v>
      </c>
      <c r="B34" s="33">
        <f>IF((($B$28-$B$32-$B$39-$B$77-$B$38)*C20/100)&lt;0,0,($B$28-$B$32-$B$39-$B$77-$B$38)*C20/100)</f>
        <v>118.89777777777779</v>
      </c>
      <c r="C34" s="167">
        <f>IF(ISERROR(B34/SUM($B$32,$B$34,$B$35,$B$36,$B$38,$B$39)*100),0,B34/SUM($B$32,$B$34,$B$35,$B$36,$B$38,$B$39)*100)</f>
        <v>9.7059410430839019</v>
      </c>
      <c r="D34" s="233"/>
      <c r="G34" s="15"/>
    </row>
    <row r="35" spans="1:7">
      <c r="A35" s="171" t="s">
        <v>74</v>
      </c>
      <c r="B35" s="33">
        <f>IF((($B$28-$B$32-$B$39-$B$77-$B$38)*C21/100)&lt;0,0,($B$28-$B$32-$B$39-$B$77-$B$38)*C21/100)</f>
        <v>110.79111111111111</v>
      </c>
      <c r="C35" s="167">
        <f>IF(ISERROR(B35/SUM($B$32,$B$34,$B$35,$B$36,$B$38,$B$39)*100),0,B35/SUM($B$32,$B$34,$B$35,$B$36,$B$38,$B$39)*100)</f>
        <v>9.0441723356009067</v>
      </c>
      <c r="D35" s="233"/>
      <c r="G35" s="15"/>
    </row>
    <row r="36" spans="1:7">
      <c r="A36" s="171" t="s">
        <v>75</v>
      </c>
      <c r="B36" s="33">
        <f>IF((($B$28-$B$32-$B$39-$B$77-$B$38)*C22/100)&lt;0,0,($B$28-$B$32-$B$39-$B$77-$B$38)*C22/100)</f>
        <v>74.311111111111103</v>
      </c>
      <c r="C36" s="167">
        <f>IF(ISERROR(B36/SUM($B$32,$B$34,$B$35,$B$36,$B$38,$B$39)*100),0,B36/SUM($B$32,$B$34,$B$35,$B$36,$B$38,$B$39)*100)</f>
        <v>6.0662131519274372</v>
      </c>
      <c r="D36" s="233"/>
      <c r="G36" s="15"/>
    </row>
    <row r="37" spans="1:7">
      <c r="A37" s="171" t="s">
        <v>76</v>
      </c>
      <c r="B37" s="34" t="s">
        <v>111</v>
      </c>
      <c r="C37" s="167"/>
      <c r="D37" s="173"/>
      <c r="G37" s="15"/>
    </row>
    <row r="38" spans="1:7">
      <c r="A38" s="171" t="s">
        <v>77</v>
      </c>
      <c r="B38" s="33">
        <f>IF((B24-(B29-B18)*0.1)&lt;0,0,B24-(B29-B18)*0.1)</f>
        <v>74.400000000000006</v>
      </c>
      <c r="C38" s="167">
        <f>IF(ISERROR(B38/SUM($B$32,$B$34,$B$35,$B$36,$B$38,$B$39)*100),0,B38/SUM($B$32,$B$34,$B$35,$B$36,$B$38,$B$39)*100)</f>
        <v>6.073469387755102</v>
      </c>
      <c r="D38" s="234"/>
      <c r="G38" s="15"/>
    </row>
    <row r="39" spans="1:7">
      <c r="A39" s="171" t="s">
        <v>78</v>
      </c>
      <c r="B39" s="33">
        <f>IF((B25-(B29-B18))&lt;0,0,B25-(B29-B18)*0.9)</f>
        <v>278.60000000000002</v>
      </c>
      <c r="C39" s="167">
        <f>IF(ISERROR(B39/SUM($B$32,$B$34,$B$35,$B$36,$B$38,$B$39)*100),0,B39/SUM($B$32,$B$34,$B$35,$B$36,$B$38,$B$39)*100)</f>
        <v>22.742857142857144</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568</v>
      </c>
      <c r="C44" s="34" t="s">
        <v>111</v>
      </c>
      <c r="D44" s="174"/>
    </row>
    <row r="45" spans="1:7">
      <c r="A45" s="171" t="s">
        <v>72</v>
      </c>
      <c r="B45" s="33" t="str">
        <f t="shared" si="0"/>
        <v>-</v>
      </c>
      <c r="C45" s="34" t="s">
        <v>111</v>
      </c>
      <c r="D45" s="174"/>
    </row>
    <row r="46" spans="1:7">
      <c r="A46" s="171" t="s">
        <v>73</v>
      </c>
      <c r="B46" s="33">
        <f t="shared" si="0"/>
        <v>118.89777777777779</v>
      </c>
      <c r="C46" s="34" t="s">
        <v>111</v>
      </c>
      <c r="D46" s="174"/>
    </row>
    <row r="47" spans="1:7">
      <c r="A47" s="171" t="s">
        <v>74</v>
      </c>
      <c r="B47" s="33">
        <f t="shared" si="0"/>
        <v>110.79111111111111</v>
      </c>
      <c r="C47" s="34" t="s">
        <v>111</v>
      </c>
      <c r="D47" s="174"/>
    </row>
    <row r="48" spans="1:7">
      <c r="A48" s="171" t="s">
        <v>75</v>
      </c>
      <c r="B48" s="33">
        <f t="shared" si="0"/>
        <v>74.311111111111103</v>
      </c>
      <c r="C48" s="33">
        <f>B48*10</f>
        <v>743.11111111111109</v>
      </c>
      <c r="D48" s="234"/>
    </row>
    <row r="49" spans="1:6">
      <c r="A49" s="171" t="s">
        <v>76</v>
      </c>
      <c r="B49" s="33" t="str">
        <f t="shared" si="0"/>
        <v>-</v>
      </c>
      <c r="C49" s="34" t="s">
        <v>111</v>
      </c>
      <c r="D49" s="234"/>
    </row>
    <row r="50" spans="1:6">
      <c r="A50" s="171" t="s">
        <v>77</v>
      </c>
      <c r="B50" s="33">
        <f t="shared" si="0"/>
        <v>74.400000000000006</v>
      </c>
      <c r="C50" s="33">
        <f>B50*2</f>
        <v>148.80000000000001</v>
      </c>
      <c r="D50" s="234"/>
    </row>
    <row r="51" spans="1:6">
      <c r="A51" s="171" t="s">
        <v>78</v>
      </c>
      <c r="B51" s="33">
        <f t="shared" si="0"/>
        <v>278.60000000000002</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68</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13</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6" zoomScale="80" zoomScaleNormal="80" workbookViewId="0">
      <selection activeCell="D26" sqref="D26:D32"/>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156</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3351.6874348784559</v>
      </c>
      <c r="C5" s="17">
        <f>IF(ISERROR('Eigen informatie GS &amp; warmtenet'!B58),0,'Eigen informatie GS &amp; warmtenet'!B58)</f>
        <v>0</v>
      </c>
      <c r="D5" s="30">
        <f>SUM(D6:D12)</f>
        <v>3879.1894397698184</v>
      </c>
      <c r="E5" s="17">
        <f>SUM(E6:E12)</f>
        <v>51.299506101093066</v>
      </c>
      <c r="F5" s="17">
        <f>SUM(F6:F12)</f>
        <v>608.64753394274612</v>
      </c>
      <c r="G5" s="18"/>
      <c r="H5" s="17"/>
      <c r="I5" s="17"/>
      <c r="J5" s="17">
        <f>SUM(J6:J12)</f>
        <v>1.2937952875387224E-2</v>
      </c>
      <c r="K5" s="17"/>
      <c r="L5" s="17"/>
      <c r="M5" s="17"/>
      <c r="N5" s="17">
        <f>SUM(N6:N12)</f>
        <v>511.2661315347774</v>
      </c>
      <c r="O5" s="17">
        <f>B38*B39*B40</f>
        <v>0</v>
      </c>
      <c r="P5" s="17">
        <f>B46*B47*B48/1000-B46*B47*B48/1000/B49</f>
        <v>38.133333333333333</v>
      </c>
      <c r="R5" s="32"/>
    </row>
    <row r="6" spans="1:18">
      <c r="A6" s="32" t="s">
        <v>54</v>
      </c>
      <c r="B6" s="37">
        <f>B26</f>
        <v>402.62514364223898</v>
      </c>
      <c r="C6" s="33"/>
      <c r="D6" s="37">
        <f>IF(ISERROR(TER_kantoor_gas_kWh/1000),0,TER_kantoor_gas_kWh/1000)*0.902</f>
        <v>0</v>
      </c>
      <c r="E6" s="33">
        <f>$C$26*'E Balans VL '!I12/100/3.6*1000000</f>
        <v>2.5235204893246837E-3</v>
      </c>
      <c r="F6" s="33">
        <f>$C$26*('E Balans VL '!L12+'E Balans VL '!N12)/100/3.6*1000000</f>
        <v>60.503308669920315</v>
      </c>
      <c r="G6" s="34"/>
      <c r="H6" s="33"/>
      <c r="I6" s="33"/>
      <c r="J6" s="33">
        <f>$C$26*('E Balans VL '!D12+'E Balans VL '!E12)/100/3.6*1000000</f>
        <v>0</v>
      </c>
      <c r="K6" s="33"/>
      <c r="L6" s="33"/>
      <c r="M6" s="33"/>
      <c r="N6" s="33">
        <f>$C$26*'E Balans VL '!Y12/100/3.6*1000000</f>
        <v>0.38505125416499864</v>
      </c>
      <c r="O6" s="33"/>
      <c r="P6" s="33"/>
      <c r="R6" s="32"/>
    </row>
    <row r="7" spans="1:18">
      <c r="A7" s="32" t="s">
        <v>53</v>
      </c>
      <c r="B7" s="37">
        <f t="shared" ref="B7:B12" si="0">B27</f>
        <v>388.97712151396001</v>
      </c>
      <c r="C7" s="33"/>
      <c r="D7" s="37">
        <f>IF(ISERROR(TER_horeca_gas_kWh/1000),0,TER_horeca_gas_kWh/1000)*0.902</f>
        <v>208.15595058836951</v>
      </c>
      <c r="E7" s="33">
        <f>$C$27*'E Balans VL '!I9/100/3.6*1000000</f>
        <v>5.5700875888599848</v>
      </c>
      <c r="F7" s="33">
        <f>$C$27*('E Balans VL '!L9+'E Balans VL '!N9)/100/3.6*1000000</f>
        <v>49.257332543381622</v>
      </c>
      <c r="G7" s="34"/>
      <c r="H7" s="33"/>
      <c r="I7" s="33"/>
      <c r="J7" s="33">
        <f>$C$27*('E Balans VL '!D9+'E Balans VL '!E9)/100/3.6*1000000</f>
        <v>0</v>
      </c>
      <c r="K7" s="33"/>
      <c r="L7" s="33"/>
      <c r="M7" s="33"/>
      <c r="N7" s="33">
        <f>$C$27*'E Balans VL '!Y9/100/3.6*1000000</f>
        <v>0.11182234622591306</v>
      </c>
      <c r="O7" s="33"/>
      <c r="P7" s="33"/>
      <c r="R7" s="32"/>
    </row>
    <row r="8" spans="1:18">
      <c r="A8" s="6" t="s">
        <v>52</v>
      </c>
      <c r="B8" s="37">
        <f t="shared" si="0"/>
        <v>830.66919583104402</v>
      </c>
      <c r="C8" s="33"/>
      <c r="D8" s="37">
        <f>IF(ISERROR(TER_handel_gas_kWh/1000),0,TER_handel_gas_kWh/1000)*0.902</f>
        <v>106.42949568820343</v>
      </c>
      <c r="E8" s="33">
        <f>$C$28*'E Balans VL '!I13/100/3.6*1000000</f>
        <v>30.128269299255916</v>
      </c>
      <c r="F8" s="33">
        <f>$C$28*('E Balans VL '!L13+'E Balans VL '!N13)/100/3.6*1000000</f>
        <v>159.99529817742535</v>
      </c>
      <c r="G8" s="34"/>
      <c r="H8" s="33"/>
      <c r="I8" s="33"/>
      <c r="J8" s="33">
        <f>$C$28*('E Balans VL '!D13+'E Balans VL '!E13)/100/3.6*1000000</f>
        <v>0</v>
      </c>
      <c r="K8" s="33"/>
      <c r="L8" s="33"/>
      <c r="M8" s="33"/>
      <c r="N8" s="33">
        <f>$C$28*'E Balans VL '!Y13/100/3.6*1000000</f>
        <v>1.1506679646838827</v>
      </c>
      <c r="O8" s="33"/>
      <c r="P8" s="33"/>
      <c r="R8" s="32"/>
    </row>
    <row r="9" spans="1:18">
      <c r="A9" s="32" t="s">
        <v>51</v>
      </c>
      <c r="B9" s="37">
        <f t="shared" si="0"/>
        <v>59.402014600746504</v>
      </c>
      <c r="C9" s="33"/>
      <c r="D9" s="37">
        <f>IF(ISERROR(TER_gezond_gas_kWh/1000),0,TER_gezond_gas_kWh/1000)*0.902</f>
        <v>0</v>
      </c>
      <c r="E9" s="33">
        <f>$C$29*'E Balans VL '!I10/100/3.6*1000000</f>
        <v>3.7191526029455601E-3</v>
      </c>
      <c r="F9" s="33">
        <f>$C$29*('E Balans VL '!L10+'E Balans VL '!N10)/100/3.6*1000000</f>
        <v>8.8243501308509771</v>
      </c>
      <c r="G9" s="34"/>
      <c r="H9" s="33"/>
      <c r="I9" s="33"/>
      <c r="J9" s="33">
        <f>$C$29*('E Balans VL '!D10+'E Balans VL '!E10)/100/3.6*1000000</f>
        <v>0</v>
      </c>
      <c r="K9" s="33"/>
      <c r="L9" s="33"/>
      <c r="M9" s="33"/>
      <c r="N9" s="33">
        <f>$C$29*'E Balans VL '!Y10/100/3.6*1000000</f>
        <v>0.91883609364880026</v>
      </c>
      <c r="O9" s="33"/>
      <c r="P9" s="33"/>
      <c r="R9" s="32"/>
    </row>
    <row r="10" spans="1:18">
      <c r="A10" s="32" t="s">
        <v>50</v>
      </c>
      <c r="B10" s="37">
        <f t="shared" si="0"/>
        <v>464.593304763297</v>
      </c>
      <c r="C10" s="33"/>
      <c r="D10" s="37">
        <f>IF(ISERROR(TER_ander_gas_kWh/1000),0,TER_ander_gas_kWh/1000)*0.902</f>
        <v>469.76993661548687</v>
      </c>
      <c r="E10" s="33">
        <f>$C$30*'E Balans VL '!I14/100/3.6*1000000</f>
        <v>0.55377861751834223</v>
      </c>
      <c r="F10" s="33">
        <f>$C$30*('E Balans VL '!L14+'E Balans VL '!N14)/100/3.6*1000000</f>
        <v>121.55826272216281</v>
      </c>
      <c r="G10" s="34"/>
      <c r="H10" s="33"/>
      <c r="I10" s="33"/>
      <c r="J10" s="33">
        <f>$C$30*('E Balans VL '!D14+'E Balans VL '!E14)/100/3.6*1000000</f>
        <v>1.0084499490942178E-2</v>
      </c>
      <c r="K10" s="33"/>
      <c r="L10" s="33"/>
      <c r="M10" s="33"/>
      <c r="N10" s="33">
        <f>$C$30*'E Balans VL '!Y14/100/3.6*1000000</f>
        <v>394.52126596684644</v>
      </c>
      <c r="O10" s="33"/>
      <c r="P10" s="33"/>
      <c r="R10" s="32"/>
    </row>
    <row r="11" spans="1:18">
      <c r="A11" s="32" t="s">
        <v>55</v>
      </c>
      <c r="B11" s="37">
        <f t="shared" si="0"/>
        <v>27.0503689678198</v>
      </c>
      <c r="C11" s="33"/>
      <c r="D11" s="37">
        <f>IF(ISERROR(TER_onderwijs_gas_kWh/1000),0,TER_onderwijs_gas_kWh/1000)*0.902</f>
        <v>168.38683413816705</v>
      </c>
      <c r="E11" s="33">
        <f>$C$31*'E Balans VL '!I11/100/3.6*1000000</f>
        <v>0.40814649896223787</v>
      </c>
      <c r="F11" s="33">
        <f>$C$31*('E Balans VL '!L11+'E Balans VL '!N11)/100/3.6*1000000</f>
        <v>4.739656785662385</v>
      </c>
      <c r="G11" s="34"/>
      <c r="H11" s="33"/>
      <c r="I11" s="33"/>
      <c r="J11" s="33">
        <f>$C$31*('E Balans VL '!D11+'E Balans VL '!E11)/100/3.6*1000000</f>
        <v>0</v>
      </c>
      <c r="K11" s="33"/>
      <c r="L11" s="33"/>
      <c r="M11" s="33"/>
      <c r="N11" s="33">
        <f>$C$31*'E Balans VL '!Y11/100/3.6*1000000</f>
        <v>7.6121794722807223E-2</v>
      </c>
      <c r="O11" s="33"/>
      <c r="P11" s="33"/>
      <c r="R11" s="32"/>
    </row>
    <row r="12" spans="1:18">
      <c r="A12" s="32" t="s">
        <v>260</v>
      </c>
      <c r="B12" s="37">
        <f t="shared" si="0"/>
        <v>1178.3702855593499</v>
      </c>
      <c r="C12" s="33"/>
      <c r="D12" s="37">
        <f>IF(ISERROR(TER_rest_gas_kWh/1000),0,TER_rest_gas_kWh/1000)*0.902</f>
        <v>2926.4472227395913</v>
      </c>
      <c r="E12" s="33">
        <f>$C$32*'E Balans VL '!I8/100/3.6*1000000</f>
        <v>14.632981423404315</v>
      </c>
      <c r="F12" s="33">
        <f>$C$32*('E Balans VL '!L8+'E Balans VL '!N8)/100/3.6*1000000</f>
        <v>203.7693249133427</v>
      </c>
      <c r="G12" s="34"/>
      <c r="H12" s="33"/>
      <c r="I12" s="33"/>
      <c r="J12" s="33">
        <f>$C$32*('E Balans VL '!D8+'E Balans VL '!E8)/100/3.6*1000000</f>
        <v>2.8534533844450454E-3</v>
      </c>
      <c r="K12" s="33"/>
      <c r="L12" s="33"/>
      <c r="M12" s="33"/>
      <c r="N12" s="33">
        <f>$C$32*'E Balans VL '!Y8/100/3.6*1000000</f>
        <v>114.10236611448457</v>
      </c>
      <c r="O12" s="33"/>
      <c r="P12" s="33"/>
      <c r="R12" s="32"/>
    </row>
    <row r="13" spans="1:18">
      <c r="A13" s="16" t="s">
        <v>488</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3351.6874348784559</v>
      </c>
      <c r="C16" s="21">
        <f t="shared" ca="1" si="1"/>
        <v>0</v>
      </c>
      <c r="D16" s="21">
        <f t="shared" ca="1" si="1"/>
        <v>3879.1894397698184</v>
      </c>
      <c r="E16" s="21">
        <f t="shared" si="1"/>
        <v>51.299506101093066</v>
      </c>
      <c r="F16" s="21">
        <f t="shared" ca="1" si="1"/>
        <v>608.64753394274612</v>
      </c>
      <c r="G16" s="21">
        <f t="shared" si="1"/>
        <v>0</v>
      </c>
      <c r="H16" s="21">
        <f t="shared" si="1"/>
        <v>0</v>
      </c>
      <c r="I16" s="21">
        <f t="shared" si="1"/>
        <v>0</v>
      </c>
      <c r="J16" s="21">
        <f t="shared" si="1"/>
        <v>1.2937952875387224E-2</v>
      </c>
      <c r="K16" s="21">
        <f t="shared" si="1"/>
        <v>0</v>
      </c>
      <c r="L16" s="21">
        <f t="shared" ca="1" si="1"/>
        <v>0</v>
      </c>
      <c r="M16" s="21">
        <f t="shared" si="1"/>
        <v>0</v>
      </c>
      <c r="N16" s="21">
        <f t="shared" ca="1" si="1"/>
        <v>511.2661315347774</v>
      </c>
      <c r="O16" s="21">
        <f>O5</f>
        <v>0</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0.18101329303879612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606.69997982410484</v>
      </c>
      <c r="C20" s="23">
        <f t="shared" ref="C20:P20" ca="1" si="2">C16*C18</f>
        <v>0</v>
      </c>
      <c r="D20" s="23">
        <f t="shared" ca="1" si="2"/>
        <v>783.59626683350336</v>
      </c>
      <c r="E20" s="23">
        <f t="shared" si="2"/>
        <v>11.644987884948126</v>
      </c>
      <c r="F20" s="23">
        <f t="shared" ca="1" si="2"/>
        <v>162.50889156271322</v>
      </c>
      <c r="G20" s="23">
        <f t="shared" si="2"/>
        <v>0</v>
      </c>
      <c r="H20" s="23">
        <f t="shared" si="2"/>
        <v>0</v>
      </c>
      <c r="I20" s="23">
        <f t="shared" si="2"/>
        <v>0</v>
      </c>
      <c r="J20" s="23">
        <f t="shared" si="2"/>
        <v>4.5800353178870766E-3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402.62514364223898</v>
      </c>
      <c r="C26" s="39">
        <f>IF(ISERROR(B26*3.6/1000000/'E Balans VL '!Z12*100),0,B26*3.6/1000000/'E Balans VL '!Z12*100)</f>
        <v>8.5108577268502763E-3</v>
      </c>
      <c r="D26" s="237" t="s">
        <v>754</v>
      </c>
      <c r="F26" s="6"/>
    </row>
    <row r="27" spans="1:18">
      <c r="A27" s="231" t="s">
        <v>53</v>
      </c>
      <c r="B27" s="33">
        <f>IF(ISERROR(TER_horeca_ele_kWh/1000),0,TER_horeca_ele_kWh/1000)</f>
        <v>388.97712151396001</v>
      </c>
      <c r="C27" s="39">
        <f>IF(ISERROR(B27*3.6/1000000/'E Balans VL '!Z9*100),0,B27*3.6/1000000/'E Balans VL '!Z9*100)</f>
        <v>3.0662921509770825E-2</v>
      </c>
      <c r="D27" s="237" t="s">
        <v>754</v>
      </c>
      <c r="F27" s="6"/>
    </row>
    <row r="28" spans="1:18">
      <c r="A28" s="171" t="s">
        <v>52</v>
      </c>
      <c r="B28" s="33">
        <f>IF(ISERROR(TER_handel_ele_kWh/1000),0,TER_handel_ele_kWh/1000)</f>
        <v>830.66919583104402</v>
      </c>
      <c r="C28" s="39">
        <f>IF(ISERROR(B28*3.6/1000000/'E Balans VL '!Z13*100),0,B28*3.6/1000000/'E Balans VL '!Z13*100)</f>
        <v>2.4109376342659673E-2</v>
      </c>
      <c r="D28" s="237" t="s">
        <v>754</v>
      </c>
      <c r="F28" s="6"/>
    </row>
    <row r="29" spans="1:18">
      <c r="A29" s="231" t="s">
        <v>51</v>
      </c>
      <c r="B29" s="33">
        <f>IF(ISERROR(TER_gezond_ele_kWh/1000),0,TER_gezond_ele_kWh/1000)</f>
        <v>59.402014600746504</v>
      </c>
      <c r="C29" s="39">
        <f>IF(ISERROR(B29*3.6/1000000/'E Balans VL '!Z10*100),0,B29*3.6/1000000/'E Balans VL '!Z10*100)</f>
        <v>6.2560075442853217E-3</v>
      </c>
      <c r="D29" s="237" t="s">
        <v>754</v>
      </c>
      <c r="F29" s="6"/>
    </row>
    <row r="30" spans="1:18">
      <c r="A30" s="231" t="s">
        <v>50</v>
      </c>
      <c r="B30" s="33">
        <f>IF(ISERROR(TER_ander_ele_kWh/1000),0,TER_ander_ele_kWh/1000)</f>
        <v>464.593304763297</v>
      </c>
      <c r="C30" s="39">
        <f>IF(ISERROR(B30*3.6/1000000/'E Balans VL '!Z14*100),0,B30*3.6/1000000/'E Balans VL '!Z14*100)</f>
        <v>3.4268503068504624E-2</v>
      </c>
      <c r="D30" s="237" t="s">
        <v>754</v>
      </c>
      <c r="F30" s="6"/>
    </row>
    <row r="31" spans="1:18">
      <c r="A31" s="231" t="s">
        <v>55</v>
      </c>
      <c r="B31" s="33">
        <f>IF(ISERROR(TER_onderwijs_ele_kWh/1000),0,TER_onderwijs_ele_kWh/1000)</f>
        <v>27.0503689678198</v>
      </c>
      <c r="C31" s="39">
        <f>IF(ISERROR(B31*3.6/1000000/'E Balans VL '!Z11*100),0,B31*3.6/1000000/'E Balans VL '!Z11*100)</f>
        <v>6.7178737286150573E-3</v>
      </c>
      <c r="D31" s="237" t="s">
        <v>754</v>
      </c>
    </row>
    <row r="32" spans="1:18">
      <c r="A32" s="231" t="s">
        <v>260</v>
      </c>
      <c r="B32" s="33">
        <f>IF(ISERROR(TER_rest_ele_kWh/1000),0,TER_rest_ele_kWh/1000)</f>
        <v>1178.3702855593499</v>
      </c>
      <c r="C32" s="39">
        <f>IF(ISERROR(B32*3.6/1000000/'E Balans VL '!Z8*100),0,B32*3.6/1000000/'E Balans VL '!Z8*100)</f>
        <v>9.6964233225970628E-3</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2</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4" sqref="B54"/>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163</v>
      </c>
      <c r="B1" s="1126" t="s">
        <v>195</v>
      </c>
      <c r="C1" s="1127"/>
      <c r="D1" s="1127"/>
      <c r="E1" s="1127"/>
      <c r="F1" s="1127"/>
      <c r="G1" s="1127"/>
      <c r="H1" s="1127"/>
      <c r="I1" s="1127"/>
      <c r="J1" s="1127"/>
      <c r="K1" s="1127"/>
      <c r="L1" s="1127"/>
      <c r="M1" s="1127"/>
      <c r="N1" s="1127"/>
      <c r="O1" s="1127"/>
      <c r="P1" s="1127"/>
      <c r="R1" s="825"/>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c r="R2" s="825"/>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5462.2304302708808</v>
      </c>
      <c r="C5" s="17">
        <f>IF(ISERROR('Eigen informatie GS &amp; warmtenet'!B59),0,'Eigen informatie GS &amp; warmtenet'!B59)</f>
        <v>0</v>
      </c>
      <c r="D5" s="30">
        <f>SUM(D6:D15)</f>
        <v>340.19255949837407</v>
      </c>
      <c r="E5" s="17">
        <f>SUM(E6:E15)</f>
        <v>428.57487859032096</v>
      </c>
      <c r="F5" s="17">
        <f>SUM(F6:F15)</f>
        <v>1416.2502917565052</v>
      </c>
      <c r="G5" s="18"/>
      <c r="H5" s="17"/>
      <c r="I5" s="17"/>
      <c r="J5" s="17">
        <f>SUM(J6:J15)</f>
        <v>14.376799420468299</v>
      </c>
      <c r="K5" s="17"/>
      <c r="L5" s="17"/>
      <c r="M5" s="17"/>
      <c r="N5" s="17">
        <f>SUM(N6:N15)</f>
        <v>1137.5709848650536</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762.7729503754399</v>
      </c>
      <c r="C8" s="33"/>
      <c r="D8" s="37">
        <f>IF( ISERROR(IND_metaal_Gas_kWH/1000),0,IND_metaal_Gas_kWH/1000)*0.902</f>
        <v>0</v>
      </c>
      <c r="E8" s="33">
        <f>C30*'E Balans VL '!I18/100/3.6*1000000</f>
        <v>7.0129605855807258</v>
      </c>
      <c r="F8" s="33">
        <f>C30*'E Balans VL '!L18/100/3.6*1000000+C30*'E Balans VL '!N18/100/3.6*1000000</f>
        <v>71.522707463071399</v>
      </c>
      <c r="G8" s="34"/>
      <c r="H8" s="33"/>
      <c r="I8" s="33"/>
      <c r="J8" s="40">
        <f>C30*'E Balans VL '!D18/100/3.6*1000000+C30*'E Balans VL '!E18/100/3.6*1000000</f>
        <v>0</v>
      </c>
      <c r="K8" s="33"/>
      <c r="L8" s="33"/>
      <c r="M8" s="33"/>
      <c r="N8" s="33">
        <f>C30*'E Balans VL '!Y18/100/3.6*1000000</f>
        <v>10.882216672488614</v>
      </c>
      <c r="O8" s="33"/>
      <c r="P8" s="33"/>
      <c r="R8" s="32"/>
    </row>
    <row r="9" spans="1:18">
      <c r="A9" s="6" t="s">
        <v>33</v>
      </c>
      <c r="B9" s="37">
        <f t="shared" si="0"/>
        <v>683.57038909031098</v>
      </c>
      <c r="C9" s="33"/>
      <c r="D9" s="37">
        <f>IF( ISERROR(IND_andere_gas_kWh/1000),0,IND_andere_gas_kWh/1000)*0.902</f>
        <v>100.15978684788641</v>
      </c>
      <c r="E9" s="33">
        <f>C31*'E Balans VL '!I19/100/3.6*1000000</f>
        <v>199.82093227695754</v>
      </c>
      <c r="F9" s="33">
        <f>C31*'E Balans VL '!L19/100/3.6*1000000+C31*'E Balans VL '!N19/100/3.6*1000000</f>
        <v>549.30054915820131</v>
      </c>
      <c r="G9" s="34"/>
      <c r="H9" s="33"/>
      <c r="I9" s="33"/>
      <c r="J9" s="40">
        <f>C31*'E Balans VL '!D19/100/3.6*1000000+C31*'E Balans VL '!E19/100/3.6*1000000</f>
        <v>0</v>
      </c>
      <c r="K9" s="33"/>
      <c r="L9" s="33"/>
      <c r="M9" s="33"/>
      <c r="N9" s="33">
        <f>C31*'E Balans VL '!Y19/100/3.6*1000000</f>
        <v>225.86225798053189</v>
      </c>
      <c r="O9" s="33"/>
      <c r="P9" s="33"/>
      <c r="R9" s="32"/>
    </row>
    <row r="10" spans="1:18">
      <c r="A10" s="6" t="s">
        <v>41</v>
      </c>
      <c r="B10" s="37">
        <f t="shared" si="0"/>
        <v>0</v>
      </c>
      <c r="C10" s="33"/>
      <c r="D10" s="37">
        <f>IF( ISERROR(IND_voed_gas_kWh/1000),0,IND_voed_gas_kWh/1000)*0.902</f>
        <v>0</v>
      </c>
      <c r="E10" s="33">
        <f>C32*'E Balans VL '!I20/100/3.6*1000000</f>
        <v>0</v>
      </c>
      <c r="F10" s="33">
        <f>C32*'E Balans VL '!L20/100/3.6*1000000+C32*'E Balans VL '!N20/100/3.6*1000000</f>
        <v>0</v>
      </c>
      <c r="G10" s="34"/>
      <c r="H10" s="33"/>
      <c r="I10" s="33"/>
      <c r="J10" s="40">
        <f>C32*'E Balans VL '!D20/100/3.6*1000000+C32*'E Balans VL '!E20/100/3.6*1000000</f>
        <v>0</v>
      </c>
      <c r="K10" s="33"/>
      <c r="L10" s="33"/>
      <c r="M10" s="33"/>
      <c r="N10" s="33">
        <f>C32*'E Balans VL '!Y20/100/3.6*1000000</f>
        <v>0</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4015.8870908051299</v>
      </c>
      <c r="C15" s="33"/>
      <c r="D15" s="37">
        <f>IF( ISERROR(IND_rest_gas_kWh/1000),0,IND_rest_gas_kWh/1000)*0.902</f>
        <v>240.03277265048766</v>
      </c>
      <c r="E15" s="33">
        <f>C37*'E Balans VL '!I15/100/3.6*1000000</f>
        <v>221.74098572778271</v>
      </c>
      <c r="F15" s="33">
        <f>C37*'E Balans VL '!L15/100/3.6*1000000+C37*'E Balans VL '!N15/100/3.6*1000000</f>
        <v>795.4270351352327</v>
      </c>
      <c r="G15" s="34"/>
      <c r="H15" s="33"/>
      <c r="I15" s="33"/>
      <c r="J15" s="40">
        <f>C37*'E Balans VL '!D15/100/3.6*1000000+C37*'E Balans VL '!E15/100/3.6*1000000</f>
        <v>14.376799420468299</v>
      </c>
      <c r="K15" s="33"/>
      <c r="L15" s="33"/>
      <c r="M15" s="33"/>
      <c r="N15" s="33">
        <f>C37*'E Balans VL '!Y15/100/3.6*1000000</f>
        <v>900.8265102120331</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5462.2304302708808</v>
      </c>
      <c r="C18" s="21">
        <f>C5+C16</f>
        <v>0</v>
      </c>
      <c r="D18" s="21">
        <f>MAX((D5+D16),0)</f>
        <v>340.19255949837407</v>
      </c>
      <c r="E18" s="21">
        <f>MAX((E5+E16),0)</f>
        <v>428.57487859032096</v>
      </c>
      <c r="F18" s="21">
        <f>MAX((F5+F16),0)</f>
        <v>1416.2502917565052</v>
      </c>
      <c r="G18" s="21"/>
      <c r="H18" s="21"/>
      <c r="I18" s="21"/>
      <c r="J18" s="21">
        <f>MAX((J5+J16),0)</f>
        <v>14.376799420468299</v>
      </c>
      <c r="K18" s="21"/>
      <c r="L18" s="21">
        <f>MAX((L5+L16),0)</f>
        <v>0</v>
      </c>
      <c r="M18" s="21"/>
      <c r="N18" s="21">
        <f>MAX((N5+N16),0)</f>
        <v>1137.5709848650536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0.18101329303879612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988.73631752005235</v>
      </c>
      <c r="C22" s="23">
        <f ca="1">C18*C20</f>
        <v>0</v>
      </c>
      <c r="D22" s="23">
        <f>D18*D20</f>
        <v>68.718897018671569</v>
      </c>
      <c r="E22" s="23">
        <f>E18*E20</f>
        <v>97.286497440002861</v>
      </c>
      <c r="F22" s="23">
        <f>F18*F20</f>
        <v>378.1388278989869</v>
      </c>
      <c r="G22" s="23"/>
      <c r="H22" s="23"/>
      <c r="I22" s="23"/>
      <c r="J22" s="23">
        <f>J18*J20</f>
        <v>5.0893869948457775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762.7729503754399</v>
      </c>
      <c r="C30" s="39">
        <f>IF(ISERROR(B30*3.6/1000000/'E Balans VL '!Z18*100),0,B30*3.6/1000000/'E Balans VL '!Z18*100)</f>
        <v>4.3228298975544824E-2</v>
      </c>
      <c r="D30" s="237" t="s">
        <v>754</v>
      </c>
    </row>
    <row r="31" spans="1:18">
      <c r="A31" s="6" t="s">
        <v>33</v>
      </c>
      <c r="B31" s="37">
        <f>IF( ISERROR(IND_ander_ele_kWh/1000),0,IND_ander_ele_kWh/1000)</f>
        <v>683.57038909031098</v>
      </c>
      <c r="C31" s="39">
        <f>IF(ISERROR(B31*3.6/1000000/'E Balans VL '!Z19*100),0,B31*3.6/1000000/'E Balans VL '!Z19*100)</f>
        <v>3.100390651157597E-2</v>
      </c>
      <c r="D31" s="237" t="s">
        <v>754</v>
      </c>
    </row>
    <row r="32" spans="1:18">
      <c r="A32" s="171" t="s">
        <v>41</v>
      </c>
      <c r="B32" s="37">
        <f>IF( ISERROR(IND_voed_ele_kWh/1000),0,IND_voed_ele_kWh/1000)</f>
        <v>0</v>
      </c>
      <c r="C32" s="39">
        <f>IF(ISERROR(B32*3.6/1000000/'E Balans VL '!Z20*100),0,B32*3.6/1000000/'E Balans VL '!Z20*100)</f>
        <v>0</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0</v>
      </c>
      <c r="C35" s="39">
        <f>IF(ISERROR(B35*3.6/1000000/'E Balans VL '!Z22*100),0,B35*3.6/1000000/'E Balans VL '!Z22*100)</f>
        <v>0</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4015.8870908051299</v>
      </c>
      <c r="C37" s="39">
        <f>IF(ISERROR(B37*3.6/1000000/'E Balans VL '!Z15*100),0,B37*3.6/1000000/'E Balans VL '!Z15*100)</f>
        <v>3.1830837173033047E-2</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34" sqref="C3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271</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5579.9248037979196</v>
      </c>
      <c r="C5" s="17">
        <f>'Eigen informatie GS &amp; warmtenet'!B60</f>
        <v>0</v>
      </c>
      <c r="D5" s="30">
        <f>IF(ISERROR(SUM(LB_lb_gas_kWh,LB_rest_gas_kWh,onbekend_gas_kWh)/1000),0,SUM(LB_lb_gas_kWh,LB_rest_gas_kWh,onbekend_gas_kWh)/1000)*0.902</f>
        <v>656.9695834254519</v>
      </c>
      <c r="E5" s="17">
        <f>B17*'E Balans VL '!I25/3.6*1000000/100</f>
        <v>164.01103304110686</v>
      </c>
      <c r="F5" s="17">
        <f>B17*('E Balans VL '!L25/3.6*1000000+'E Balans VL '!N25/3.6*1000000)/100</f>
        <v>23245.665209311988</v>
      </c>
      <c r="G5" s="18"/>
      <c r="H5" s="17"/>
      <c r="I5" s="17"/>
      <c r="J5" s="17">
        <f>('E Balans VL '!D25+'E Balans VL '!E25)/3.6*1000000*landbouw!B17/100</f>
        <v>808.41127381347337</v>
      </c>
      <c r="K5" s="17"/>
      <c r="L5" s="17">
        <f>L6*(-1)</f>
        <v>0</v>
      </c>
      <c r="M5" s="17"/>
      <c r="N5" s="17">
        <f>N6*(-1)</f>
        <v>20.785714285714285</v>
      </c>
      <c r="O5" s="17"/>
      <c r="P5" s="17"/>
      <c r="R5" s="32"/>
    </row>
    <row r="6" spans="1:18">
      <c r="A6" s="16" t="s">
        <v>488</v>
      </c>
      <c r="B6" s="17" t="s">
        <v>211</v>
      </c>
      <c r="C6" s="17">
        <f>'lokale energieproductie'!O91+'lokale energieproductie'!O60</f>
        <v>10.392857142857141</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-20.785714285714285</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5579.9248037979196</v>
      </c>
      <c r="C8" s="21">
        <f>C5+C6</f>
        <v>10.392857142857141</v>
      </c>
      <c r="D8" s="21">
        <f>MAX((D5+D6),0)</f>
        <v>656.9695834254519</v>
      </c>
      <c r="E8" s="21">
        <f>MAX((E5+E6),0)</f>
        <v>164.01103304110686</v>
      </c>
      <c r="F8" s="21">
        <f>MAX((F5+F6),0)</f>
        <v>23245.665209311988</v>
      </c>
      <c r="G8" s="21"/>
      <c r="H8" s="21"/>
      <c r="I8" s="21"/>
      <c r="J8" s="21">
        <f>MAX((J5+J6),0)</f>
        <v>808.41127381347337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0.18101329303879612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1010.0405636443198</v>
      </c>
      <c r="C12" s="23">
        <f ca="1">C8*C10</f>
        <v>0</v>
      </c>
      <c r="D12" s="23">
        <f>D8*D10</f>
        <v>132.7078558519413</v>
      </c>
      <c r="E12" s="23">
        <f>E8*E10</f>
        <v>37.230504500331257</v>
      </c>
      <c r="F12" s="23">
        <f>F8*F10</f>
        <v>6206.5926108863014</v>
      </c>
      <c r="G12" s="23"/>
      <c r="H12" s="23"/>
      <c r="I12" s="23"/>
      <c r="J12" s="23">
        <f>J8*J10</f>
        <v>286.17759092996954</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0.79180883613910336</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33" t="s">
        <v>303</v>
      </c>
      <c r="B22" s="1136" t="s">
        <v>304</v>
      </c>
      <c r="C22" s="1136" t="s">
        <v>493</v>
      </c>
    </row>
    <row r="23" spans="1:4">
      <c r="A23" s="1134"/>
      <c r="B23" s="1137"/>
      <c r="C23" s="1137"/>
    </row>
    <row r="24" spans="1:4" ht="15.75" thickBot="1">
      <c r="A24" s="1135"/>
      <c r="B24" s="1138"/>
      <c r="C24" s="1138"/>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1202.0479960716759</v>
      </c>
      <c r="C26" s="247">
        <f>B26*'GWP N2O_CH4'!B5</f>
        <v>25243.007917505194</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621.677331378497</v>
      </c>
      <c r="C27" s="247">
        <f>B27*'GWP N2O_CH4'!B5</f>
        <v>13055.223958948438</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15.690847824738384</v>
      </c>
      <c r="C28" s="247">
        <f>B28*'GWP N2O_CH4'!B4</f>
        <v>4864.1628256688991</v>
      </c>
      <c r="D28" s="50"/>
    </row>
    <row r="29" spans="1:4">
      <c r="A29" s="41" t="s">
        <v>277</v>
      </c>
      <c r="B29" s="247">
        <f>B34*'ha_N2O bodem landbouw'!B4</f>
        <v>35.653546685866985</v>
      </c>
      <c r="C29" s="247">
        <f>B29*'GWP N2O_CH4'!B4</f>
        <v>11052.599472618766</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8.1360164861269471E-3</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4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25" t="s">
        <v>497</v>
      </c>
      <c r="B1" s="1126" t="s">
        <v>546</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2.3349473624720426E-5</v>
      </c>
      <c r="C5" s="463" t="s">
        <v>211</v>
      </c>
      <c r="D5" s="448">
        <f>SUM(D6:D11)</f>
        <v>1.0350143358917051E-4</v>
      </c>
      <c r="E5" s="448">
        <f>SUM(E6:E11)</f>
        <v>1.3367778754997946E-4</v>
      </c>
      <c r="F5" s="461" t="s">
        <v>211</v>
      </c>
      <c r="G5" s="448">
        <f>SUM(G6:G11)</f>
        <v>4.4130350700740742E-2</v>
      </c>
      <c r="H5" s="448">
        <f>SUM(H6:H11)</f>
        <v>1.1527959498873294E-2</v>
      </c>
      <c r="I5" s="463" t="s">
        <v>211</v>
      </c>
      <c r="J5" s="463" t="s">
        <v>211</v>
      </c>
      <c r="K5" s="463" t="s">
        <v>211</v>
      </c>
      <c r="L5" s="463" t="s">
        <v>211</v>
      </c>
      <c r="M5" s="448">
        <f>SUM(M6:M11)</f>
        <v>2.9204689686021324E-3</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9.0082842452311927E-6</v>
      </c>
      <c r="C6" s="449"/>
      <c r="D6" s="962">
        <f>vkm_2011_GW_PW*SUMIFS(TableVerdeelsleutelVkm[CNG],TableVerdeelsleutelVkm[Voertuigtype],"Lichte voertuigen")*SUMIFS(TableECFTransport[EnergieConsumptieFactor (PJ per km)],TableECFTransport[Index],CONCATENATE($A6,"_CNG_CNG"))</f>
        <v>2.7019682450831032E-5</v>
      </c>
      <c r="E6" s="962">
        <f>vkm_2011_GW_PW*SUMIFS(TableVerdeelsleutelVkm[LPG],TableVerdeelsleutelVkm[Voertuigtype],"Lichte voertuigen")*SUMIFS(TableECFTransport[EnergieConsumptieFactor (PJ per km)],TableECFTransport[Index],CONCATENATE($A6,"_LPG_LPG"))</f>
        <v>3.6912767413945645E-5</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9.5439495456881938E-3</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3.0726404576212089E-3</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6.4879627202799582E-4</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6.7242754575532679E-3</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2.0490640645614567E-6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3.9294432977866423E-4</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1.4341189379489232E-5</v>
      </c>
      <c r="C8" s="449"/>
      <c r="D8" s="451">
        <f>vkm_2011_NGW_PW*SUMIFS(TableVerdeelsleutelVkm[CNG],TableVerdeelsleutelVkm[Voertuigtype],"Lichte voertuigen")*SUMIFS(TableECFTransport[EnergieConsumptieFactor (PJ per km)],TableECFTransport[Index],CONCATENATE($A8,"_CNG_CNG"))</f>
        <v>7.6481751138339477E-5</v>
      </c>
      <c r="E8" s="451">
        <f>vkm_2011_NGW_PW*SUMIFS(TableVerdeelsleutelVkm[LPG],TableVerdeelsleutelVkm[Voertuigtype],"Lichte voertuigen")*SUMIFS(TableECFTransport[EnergieConsumptieFactor (PJ per km)],TableECFTransport[Index],CONCATENATE($A8,"_LPG_LPG"))</f>
        <v>9.6765020136033817E-5</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2.3315059311145438E-2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8.451965544155747E-3</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1.6130153142810682E-3</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4.5470663863538376E-3</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1.3044330317772063E-6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2.6571305251440417E-4</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6.4859648957556741</v>
      </c>
      <c r="C14" s="21"/>
      <c r="D14" s="21">
        <f t="shared" ref="D14:M14" si="0">((D5)*10^9/3600)+D12</f>
        <v>28.750398219214031</v>
      </c>
      <c r="E14" s="21">
        <f t="shared" si="0"/>
        <v>37.132718763883183</v>
      </c>
      <c r="F14" s="21"/>
      <c r="G14" s="21">
        <f t="shared" si="0"/>
        <v>12258.430750205762</v>
      </c>
      <c r="H14" s="21">
        <f t="shared" si="0"/>
        <v>3202.2109719092482</v>
      </c>
      <c r="I14" s="21"/>
      <c r="J14" s="21"/>
      <c r="K14" s="21"/>
      <c r="L14" s="21"/>
      <c r="M14" s="21">
        <f t="shared" si="0"/>
        <v>811.24138016725908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0.18101329303879612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1.1740458643147667</v>
      </c>
      <c r="C18" s="23"/>
      <c r="D18" s="23">
        <f t="shared" ref="D18:M18" si="1">D14*D16</f>
        <v>5.8075804402812343</v>
      </c>
      <c r="E18" s="23">
        <f t="shared" si="1"/>
        <v>8.4291271594014834</v>
      </c>
      <c r="F18" s="23"/>
      <c r="G18" s="23">
        <f t="shared" si="1"/>
        <v>3273.0010103049385</v>
      </c>
      <c r="H18" s="23">
        <f t="shared" si="1"/>
        <v>797.35053200540278</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2013</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2013</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39" t="s">
        <v>498</v>
      </c>
      <c r="B46" s="1140" t="s">
        <v>545</v>
      </c>
      <c r="C46" s="1141"/>
      <c r="D46" s="1141"/>
      <c r="E46" s="1141"/>
      <c r="F46" s="1141"/>
      <c r="G46" s="1141"/>
      <c r="H46" s="1141"/>
      <c r="I46" s="1141"/>
      <c r="J46" s="1141"/>
      <c r="K46" s="1141"/>
      <c r="L46" s="1141"/>
      <c r="M46" s="1141"/>
      <c r="N46" s="1141"/>
      <c r="O46" s="1141"/>
      <c r="P46" s="1141"/>
    </row>
    <row r="47" spans="1:16" s="15" customFormat="1" ht="15.75" thickTop="1">
      <c r="A47" s="1139"/>
      <c r="B47" s="1142" t="s">
        <v>21</v>
      </c>
      <c r="C47" s="1142" t="s">
        <v>196</v>
      </c>
      <c r="D47" s="1144" t="s">
        <v>197</v>
      </c>
      <c r="E47" s="1145"/>
      <c r="F47" s="1145"/>
      <c r="G47" s="1145"/>
      <c r="H47" s="1145"/>
      <c r="I47" s="1145"/>
      <c r="J47" s="1145"/>
      <c r="K47" s="1146"/>
      <c r="L47" s="1144" t="s">
        <v>198</v>
      </c>
      <c r="M47" s="1145"/>
      <c r="N47" s="1145"/>
      <c r="O47" s="1145"/>
      <c r="P47" s="1146"/>
    </row>
    <row r="48" spans="1:16" s="15" customFormat="1" ht="45">
      <c r="A48" s="1139"/>
      <c r="B48" s="1143"/>
      <c r="C48" s="114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7.6603404187317199E-4</v>
      </c>
      <c r="H50" s="321">
        <f t="shared" si="2"/>
        <v>0</v>
      </c>
      <c r="I50" s="321">
        <f t="shared" si="2"/>
        <v>0</v>
      </c>
      <c r="J50" s="321">
        <f t="shared" si="2"/>
        <v>0</v>
      </c>
      <c r="K50" s="321">
        <f t="shared" si="2"/>
        <v>0</v>
      </c>
      <c r="L50" s="321">
        <f t="shared" si="2"/>
        <v>0</v>
      </c>
      <c r="M50" s="321">
        <f t="shared" si="2"/>
        <v>4.3507351862605149E-5</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7.6603404187317199E-4</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4.3507351862605149E-5</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212.7872338536589</v>
      </c>
      <c r="H54" s="21">
        <f t="shared" si="3"/>
        <v>0</v>
      </c>
      <c r="I54" s="21">
        <f t="shared" si="3"/>
        <v>0</v>
      </c>
      <c r="J54" s="21">
        <f t="shared" si="3"/>
        <v>0</v>
      </c>
      <c r="K54" s="21">
        <f t="shared" si="3"/>
        <v>0</v>
      </c>
      <c r="L54" s="21">
        <f t="shared" si="3"/>
        <v>0</v>
      </c>
      <c r="M54" s="21">
        <f t="shared" si="3"/>
        <v>12.08537551739032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0.18101329303879612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56.814191438926933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2013</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171" t="s">
        <v>241</v>
      </c>
      <c r="B1" s="1171" t="s">
        <v>242</v>
      </c>
      <c r="C1" s="1174" t="s">
        <v>243</v>
      </c>
      <c r="D1" s="1175"/>
      <c r="E1" s="1175"/>
      <c r="F1" s="1175"/>
      <c r="G1" s="1175"/>
      <c r="H1" s="1175"/>
      <c r="I1" s="1175"/>
      <c r="J1" s="1175"/>
      <c r="K1" s="1175"/>
      <c r="L1" s="1176"/>
      <c r="M1" s="1160" t="s">
        <v>244</v>
      </c>
      <c r="N1" s="1159" t="s">
        <v>547</v>
      </c>
      <c r="O1" s="1160"/>
      <c r="Q1" s="1158"/>
      <c r="R1" s="1158"/>
      <c r="S1" s="1158"/>
    </row>
    <row r="2" spans="1:19" s="563" customFormat="1" ht="15.75" thickBot="1">
      <c r="A2" s="1172"/>
      <c r="B2" s="1172"/>
      <c r="C2" s="1195" t="s">
        <v>197</v>
      </c>
      <c r="D2" s="1196"/>
      <c r="E2" s="1196"/>
      <c r="F2" s="1196"/>
      <c r="G2" s="1197"/>
      <c r="H2" s="1198" t="s">
        <v>245</v>
      </c>
      <c r="I2" s="1184" t="s">
        <v>246</v>
      </c>
      <c r="J2" s="1184" t="s">
        <v>234</v>
      </c>
      <c r="K2" s="1184" t="s">
        <v>247</v>
      </c>
      <c r="L2" s="1186" t="s">
        <v>127</v>
      </c>
      <c r="M2" s="1162"/>
      <c r="N2" s="1161"/>
      <c r="O2" s="1162"/>
      <c r="Q2" s="1158"/>
      <c r="R2" s="1158"/>
      <c r="S2" s="1158"/>
    </row>
    <row r="3" spans="1:19" s="563" customFormat="1" ht="53.45" customHeight="1" thickBot="1">
      <c r="A3" s="1173"/>
      <c r="B3" s="1163"/>
      <c r="C3" s="564" t="s">
        <v>199</v>
      </c>
      <c r="D3" s="565" t="s">
        <v>200</v>
      </c>
      <c r="E3" s="566" t="s">
        <v>201</v>
      </c>
      <c r="F3" s="567" t="s">
        <v>203</v>
      </c>
      <c r="G3" s="568" t="s">
        <v>204</v>
      </c>
      <c r="H3" s="1181"/>
      <c r="I3" s="1185"/>
      <c r="J3" s="1185"/>
      <c r="K3" s="1185"/>
      <c r="L3" s="1194"/>
      <c r="M3" s="1164"/>
      <c r="N3" s="1163"/>
      <c r="O3" s="1164"/>
      <c r="Q3" s="1158"/>
      <c r="R3" s="1158"/>
      <c r="S3" s="1158"/>
    </row>
    <row r="4" spans="1:19" s="563" customFormat="1" ht="15.75" thickTop="1">
      <c r="A4" s="569" t="s">
        <v>249</v>
      </c>
      <c r="B4" s="570">
        <f>IF(ISERROR(kWh_wind_land),0,kWh_wind_land)</f>
        <v>0</v>
      </c>
      <c r="C4" s="1202"/>
      <c r="D4" s="1190"/>
      <c r="E4" s="1190"/>
      <c r="F4" s="1205"/>
      <c r="G4" s="1208"/>
      <c r="H4" s="1199"/>
      <c r="I4" s="1190"/>
      <c r="J4" s="1190"/>
      <c r="K4" s="571"/>
      <c r="L4" s="1191"/>
      <c r="M4" s="572"/>
      <c r="N4" s="1165"/>
      <c r="O4" s="1166"/>
      <c r="Q4" s="573"/>
      <c r="R4" s="1155"/>
      <c r="S4" s="1155"/>
    </row>
    <row r="5" spans="1:19" s="563" customFormat="1">
      <c r="A5" s="574" t="s">
        <v>250</v>
      </c>
      <c r="B5" s="570">
        <f>IF(ISERROR(kWh_waterkracht),0,kWh_waterkracht)</f>
        <v>0</v>
      </c>
      <c r="C5" s="1203"/>
      <c r="D5" s="1188"/>
      <c r="E5" s="1188"/>
      <c r="F5" s="1206"/>
      <c r="G5" s="1209"/>
      <c r="H5" s="1200"/>
      <c r="I5" s="1188"/>
      <c r="J5" s="1188"/>
      <c r="K5" s="1188"/>
      <c r="L5" s="1192"/>
      <c r="M5" s="575"/>
      <c r="N5" s="1167"/>
      <c r="O5" s="1168"/>
      <c r="Q5" s="573"/>
      <c r="R5" s="1155"/>
      <c r="S5" s="1155"/>
    </row>
    <row r="6" spans="1:19" s="563" customFormat="1">
      <c r="A6" s="574" t="s">
        <v>251</v>
      </c>
      <c r="B6" s="570">
        <f>IF(ISERROR((kWh_PV_kleiner_dan_10kW+kWh_PV_groter_dan_10kW)),0,(kWh_PV_kleiner_dan_10kW+kWh_PV_groter_dan_10kW))</f>
        <v>3629.7364579298728</v>
      </c>
      <c r="C6" s="1204"/>
      <c r="D6" s="1189"/>
      <c r="E6" s="1189"/>
      <c r="F6" s="1207"/>
      <c r="G6" s="1210"/>
      <c r="H6" s="1201"/>
      <c r="I6" s="1189"/>
      <c r="J6" s="1189"/>
      <c r="K6" s="1189"/>
      <c r="L6" s="1193"/>
      <c r="M6" s="575"/>
      <c r="N6" s="1167"/>
      <c r="O6" s="1168"/>
      <c r="Q6" s="573"/>
      <c r="R6" s="1155"/>
      <c r="S6" s="1155"/>
    </row>
    <row r="7" spans="1:19" s="563" customFormat="1">
      <c r="A7" s="576" t="s">
        <v>252</v>
      </c>
      <c r="B7" s="577">
        <f>N57</f>
        <v>7.2749999999999986</v>
      </c>
      <c r="C7" s="578">
        <f>B100</f>
        <v>0</v>
      </c>
      <c r="D7" s="579"/>
      <c r="E7" s="579">
        <f>E100</f>
        <v>0</v>
      </c>
      <c r="F7" s="580"/>
      <c r="G7" s="581"/>
      <c r="H7" s="579">
        <f>I100</f>
        <v>0</v>
      </c>
      <c r="I7" s="579">
        <f>G100+F100</f>
        <v>0</v>
      </c>
      <c r="J7" s="579">
        <f>H100+D100+C100</f>
        <v>8.5588235294117645</v>
      </c>
      <c r="K7" s="579"/>
      <c r="L7" s="582"/>
      <c r="M7" s="583">
        <f>C7*$C$11+D7*$D$11+E7*$E$11+F7*$F$11+G7*$G$11+H7*$H$11+I7*$I$11+J7*$J$11</f>
        <v>0</v>
      </c>
      <c r="N7" s="1167"/>
      <c r="O7" s="1168"/>
      <c r="Q7" s="573"/>
      <c r="R7" s="1155"/>
      <c r="S7" s="1155"/>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169"/>
      <c r="O8" s="1170"/>
      <c r="P8" s="591"/>
      <c r="Q8" s="573"/>
      <c r="R8" s="1155"/>
      <c r="S8" s="1155"/>
    </row>
    <row r="9" spans="1:19" s="563" customFormat="1" ht="16.5" thickTop="1" thickBot="1">
      <c r="A9" s="592" t="s">
        <v>116</v>
      </c>
      <c r="B9" s="593">
        <f>SUM(B4:B8)</f>
        <v>3637.0114579298729</v>
      </c>
      <c r="C9" s="594">
        <f t="shared" ref="C9:L9" si="0">SUM(C7:C8)</f>
        <v>0</v>
      </c>
      <c r="D9" s="594">
        <f t="shared" si="0"/>
        <v>0</v>
      </c>
      <c r="E9" s="594">
        <f t="shared" si="0"/>
        <v>0</v>
      </c>
      <c r="F9" s="594">
        <f t="shared" si="0"/>
        <v>0</v>
      </c>
      <c r="G9" s="594">
        <f t="shared" si="0"/>
        <v>0</v>
      </c>
      <c r="H9" s="594">
        <f t="shared" si="0"/>
        <v>0</v>
      </c>
      <c r="I9" s="594">
        <f t="shared" si="0"/>
        <v>0</v>
      </c>
      <c r="J9" s="594">
        <f t="shared" si="0"/>
        <v>8.5588235294117645</v>
      </c>
      <c r="K9" s="594">
        <f t="shared" si="0"/>
        <v>0</v>
      </c>
      <c r="L9" s="594">
        <f t="shared" si="0"/>
        <v>0</v>
      </c>
      <c r="M9" s="595">
        <f>SUM(M4:M8)</f>
        <v>0</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171" t="s">
        <v>253</v>
      </c>
      <c r="B13" s="1171" t="s">
        <v>254</v>
      </c>
      <c r="C13" s="1174" t="s">
        <v>255</v>
      </c>
      <c r="D13" s="1175"/>
      <c r="E13" s="1175"/>
      <c r="F13" s="1175"/>
      <c r="G13" s="1175"/>
      <c r="H13" s="1175"/>
      <c r="I13" s="1175"/>
      <c r="J13" s="1175"/>
      <c r="K13" s="1175"/>
      <c r="L13" s="1176"/>
      <c r="M13" s="1160" t="s">
        <v>244</v>
      </c>
      <c r="N13" s="1159" t="s">
        <v>256</v>
      </c>
      <c r="O13" s="1160"/>
      <c r="P13" s="1158"/>
      <c r="Q13" s="1158"/>
      <c r="R13" s="1158"/>
    </row>
    <row r="14" spans="1:19" s="563" customFormat="1" ht="15.75" thickBot="1">
      <c r="A14" s="1172"/>
      <c r="B14" s="1172"/>
      <c r="C14" s="1177" t="s">
        <v>197</v>
      </c>
      <c r="D14" s="1178"/>
      <c r="E14" s="1178"/>
      <c r="F14" s="1178"/>
      <c r="G14" s="1179"/>
      <c r="H14" s="1180" t="s">
        <v>245</v>
      </c>
      <c r="I14" s="1180" t="s">
        <v>246</v>
      </c>
      <c r="J14" s="1182" t="s">
        <v>234</v>
      </c>
      <c r="K14" s="1184" t="s">
        <v>257</v>
      </c>
      <c r="L14" s="1186" t="s">
        <v>127</v>
      </c>
      <c r="M14" s="1162"/>
      <c r="N14" s="1161"/>
      <c r="O14" s="1162"/>
      <c r="P14" s="1158"/>
      <c r="Q14" s="1158"/>
      <c r="R14" s="1158"/>
    </row>
    <row r="15" spans="1:19" s="563" customFormat="1" ht="40.700000000000003" customHeight="1" thickBot="1">
      <c r="A15" s="1173"/>
      <c r="B15" s="1173"/>
      <c r="C15" s="605" t="s">
        <v>199</v>
      </c>
      <c r="D15" s="565" t="s">
        <v>200</v>
      </c>
      <c r="E15" s="606" t="s">
        <v>201</v>
      </c>
      <c r="F15" s="565" t="s">
        <v>203</v>
      </c>
      <c r="G15" s="607" t="s">
        <v>204</v>
      </c>
      <c r="H15" s="1181"/>
      <c r="I15" s="1181"/>
      <c r="J15" s="1183"/>
      <c r="K15" s="1185"/>
      <c r="L15" s="1187"/>
      <c r="M15" s="1164"/>
      <c r="N15" s="1163"/>
      <c r="O15" s="1164"/>
      <c r="P15" s="1158"/>
      <c r="Q15" s="1158"/>
      <c r="R15" s="1158"/>
    </row>
    <row r="16" spans="1:19" s="563" customFormat="1" ht="15.75" thickTop="1">
      <c r="A16" s="608" t="s">
        <v>252</v>
      </c>
      <c r="B16" s="609">
        <f>O57</f>
        <v>10.392857142857141</v>
      </c>
      <c r="C16" s="610">
        <f>B101</f>
        <v>0</v>
      </c>
      <c r="D16" s="611"/>
      <c r="E16" s="611">
        <f>E101</f>
        <v>0</v>
      </c>
      <c r="F16" s="612"/>
      <c r="G16" s="613"/>
      <c r="H16" s="610">
        <f>I101</f>
        <v>0</v>
      </c>
      <c r="I16" s="611">
        <f>G101+F101</f>
        <v>0</v>
      </c>
      <c r="J16" s="611">
        <f>H101+D101+C101</f>
        <v>12.22689075630252</v>
      </c>
      <c r="K16" s="611"/>
      <c r="L16" s="614"/>
      <c r="M16" s="615">
        <f>C16*$C$21+E16*$E$21+H16*$H$21+I16*$I$21+J16*$J$21+D16*$D$21+F16*$F$21+G16*$G$21+K16*$K$21+L16*$L$21</f>
        <v>0</v>
      </c>
      <c r="N16" s="1150"/>
      <c r="O16" s="1151"/>
      <c r="P16" s="616"/>
      <c r="Q16" s="1152"/>
      <c r="R16" s="1152"/>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153"/>
      <c r="O17" s="1154"/>
      <c r="P17" s="573"/>
      <c r="Q17" s="1155"/>
      <c r="R17" s="1155"/>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156"/>
      <c r="O18" s="1157"/>
      <c r="P18" s="573"/>
      <c r="Q18" s="1155"/>
      <c r="R18" s="1155"/>
    </row>
    <row r="19" spans="1:26" s="563" customFormat="1" ht="16.5" thickTop="1" thickBot="1">
      <c r="A19" s="592" t="s">
        <v>116</v>
      </c>
      <c r="B19" s="593">
        <f>SUM(B16:B18)</f>
        <v>10.392857142857141</v>
      </c>
      <c r="C19" s="593">
        <f>SUM(C16:C18)</f>
        <v>0</v>
      </c>
      <c r="D19" s="593">
        <f t="shared" ref="D19:M19" si="1">SUM(D16:D18)</f>
        <v>0</v>
      </c>
      <c r="E19" s="593">
        <f t="shared" si="1"/>
        <v>0</v>
      </c>
      <c r="F19" s="593">
        <f t="shared" si="1"/>
        <v>0</v>
      </c>
      <c r="G19" s="593">
        <f t="shared" si="1"/>
        <v>0</v>
      </c>
      <c r="H19" s="593">
        <f t="shared" si="1"/>
        <v>0</v>
      </c>
      <c r="I19" s="593">
        <f t="shared" si="1"/>
        <v>0</v>
      </c>
      <c r="J19" s="593">
        <f t="shared" si="1"/>
        <v>12.22689075630252</v>
      </c>
      <c r="K19" s="593">
        <f t="shared" si="1"/>
        <v>0</v>
      </c>
      <c r="L19" s="593">
        <f t="shared" si="1"/>
        <v>0</v>
      </c>
      <c r="M19" s="620">
        <f t="shared" si="1"/>
        <v>0</v>
      </c>
      <c r="N19" s="1147"/>
      <c r="O19" s="1148"/>
      <c r="P19" s="573"/>
      <c r="Q19" s="1149"/>
      <c r="R19" s="1149"/>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25.5">
      <c r="A27" s="624"/>
      <c r="B27" s="851">
        <v>32030</v>
      </c>
      <c r="C27" s="851">
        <v>8647</v>
      </c>
      <c r="D27" s="672"/>
      <c r="E27" s="671"/>
      <c r="F27" s="671" t="s">
        <v>809</v>
      </c>
      <c r="G27" s="671" t="s">
        <v>810</v>
      </c>
      <c r="H27" s="671" t="s">
        <v>811</v>
      </c>
      <c r="I27" s="671" t="s">
        <v>812</v>
      </c>
      <c r="J27" s="850">
        <v>42298</v>
      </c>
      <c r="K27" s="850">
        <v>42298</v>
      </c>
      <c r="L27" s="671" t="s">
        <v>813</v>
      </c>
      <c r="M27" s="671">
        <v>9.6999999999999993</v>
      </c>
      <c r="N27" s="671">
        <v>7.2749999999999986</v>
      </c>
      <c r="O27" s="671">
        <v>10.392857142857141</v>
      </c>
      <c r="P27" s="671">
        <v>0</v>
      </c>
      <c r="Q27" s="671">
        <v>20.785714285714285</v>
      </c>
      <c r="R27" s="671">
        <v>0</v>
      </c>
      <c r="S27" s="671">
        <v>0</v>
      </c>
      <c r="T27" s="671">
        <v>0</v>
      </c>
      <c r="U27" s="671">
        <v>0</v>
      </c>
      <c r="V27" s="671">
        <v>0</v>
      </c>
      <c r="W27" s="671">
        <v>0</v>
      </c>
      <c r="X27" s="671">
        <v>10</v>
      </c>
      <c r="Y27" s="671" t="s">
        <v>112</v>
      </c>
      <c r="Z27" s="673" t="s">
        <v>112</v>
      </c>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9.6999999999999993</v>
      </c>
      <c r="N57" s="629">
        <f>SUM(N27:N56)</f>
        <v>7.2749999999999986</v>
      </c>
      <c r="O57" s="629">
        <f t="shared" ref="O57:W57" si="2">SUM(O27:O56)</f>
        <v>10.392857142857141</v>
      </c>
      <c r="P57" s="629">
        <f t="shared" si="2"/>
        <v>0</v>
      </c>
      <c r="Q57" s="629">
        <f t="shared" si="2"/>
        <v>20.785714285714285</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9.6999999999999993</v>
      </c>
      <c r="N60" s="634">
        <f t="shared" ref="N60:W60" si="4">SUMIF($Z$27:$Z$56,"landbouw",N27:N56)</f>
        <v>7.2749999999999986</v>
      </c>
      <c r="O60" s="634">
        <f t="shared" si="4"/>
        <v>10.392857142857141</v>
      </c>
      <c r="P60" s="634">
        <f t="shared" si="4"/>
        <v>0</v>
      </c>
      <c r="Q60" s="634">
        <f t="shared" si="4"/>
        <v>20.785714285714285</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0.58823529411764708</v>
      </c>
      <c r="C97" s="654">
        <f>IF(ISERROR(N57/(O57+N57)),0,N57/(N57+O57))</f>
        <v>0.41176470588235298</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0</v>
      </c>
      <c r="C100" s="663">
        <f t="shared" si="9"/>
        <v>8.5588235294117645</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0</v>
      </c>
      <c r="C101" s="666">
        <f t="shared" ref="C101:H101" si="10">$B$97*Q57</f>
        <v>12.22689075630252</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3"/>
      <c r="B4" s="473"/>
      <c r="C4" s="63"/>
      <c r="D4" s="63"/>
      <c r="E4" s="63"/>
      <c r="F4" s="63"/>
      <c r="G4" s="63"/>
      <c r="H4" s="63"/>
      <c r="I4" s="63"/>
      <c r="J4" s="63"/>
      <c r="K4" s="63"/>
      <c r="L4" s="63"/>
      <c r="M4" s="63"/>
      <c r="N4" s="63"/>
      <c r="O4" s="63"/>
      <c r="P4" s="63"/>
      <c r="Q4" s="63"/>
      <c r="R4" s="63"/>
    </row>
    <row r="5" spans="1:19" ht="16.5" thickBot="1">
      <c r="A5" s="1084" t="s">
        <v>222</v>
      </c>
      <c r="B5" s="860"/>
      <c r="C5" s="1087" t="s">
        <v>343</v>
      </c>
      <c r="D5" s="1088"/>
      <c r="E5" s="1088"/>
      <c r="F5" s="1088"/>
      <c r="G5" s="1088"/>
      <c r="H5" s="1088"/>
      <c r="I5" s="1088"/>
      <c r="J5" s="1088"/>
      <c r="K5" s="1088"/>
      <c r="L5" s="1088"/>
      <c r="M5" s="1088"/>
      <c r="N5" s="1088"/>
      <c r="O5" s="1088"/>
      <c r="P5" s="1088"/>
      <c r="Q5" s="1088"/>
      <c r="R5" s="1089"/>
    </row>
    <row r="6" spans="1:19" ht="16.5" thickTop="1">
      <c r="A6" s="1085"/>
      <c r="B6" s="861"/>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2"/>
      <c r="C7" s="1091"/>
      <c r="D7" s="109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098"/>
    </row>
    <row r="8" spans="1:19" ht="18.75" customHeight="1" thickTop="1">
      <c r="A8" s="869" t="s">
        <v>344</v>
      </c>
      <c r="B8" s="874"/>
      <c r="C8" s="1069"/>
      <c r="D8" s="1069"/>
      <c r="E8" s="1069"/>
      <c r="F8" s="1069"/>
      <c r="G8" s="1069"/>
      <c r="H8" s="1069"/>
      <c r="I8" s="1069"/>
      <c r="J8" s="1069"/>
      <c r="K8" s="1069"/>
      <c r="L8" s="1069"/>
      <c r="M8" s="1069"/>
      <c r="N8" s="1069"/>
      <c r="O8" s="1069"/>
      <c r="P8" s="1069"/>
      <c r="Q8" s="106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3549.3714348784561</v>
      </c>
      <c r="D10" s="718">
        <f ca="1">tertiair!C16</f>
        <v>0</v>
      </c>
      <c r="E10" s="718">
        <f ca="1">tertiair!D16</f>
        <v>3879.1894397698184</v>
      </c>
      <c r="F10" s="718">
        <f>tertiair!E16</f>
        <v>51.299506101093066</v>
      </c>
      <c r="G10" s="718">
        <f ca="1">tertiair!F16</f>
        <v>608.64753394274612</v>
      </c>
      <c r="H10" s="718">
        <f>tertiair!G16</f>
        <v>0</v>
      </c>
      <c r="I10" s="718">
        <f>tertiair!H16</f>
        <v>0</v>
      </c>
      <c r="J10" s="718">
        <f>tertiair!I16</f>
        <v>0</v>
      </c>
      <c r="K10" s="718">
        <f>tertiair!J16</f>
        <v>1.2937952875387224E-2</v>
      </c>
      <c r="L10" s="718">
        <f>tertiair!K16</f>
        <v>0</v>
      </c>
      <c r="M10" s="718">
        <f ca="1">tertiair!L16</f>
        <v>0</v>
      </c>
      <c r="N10" s="718">
        <f>tertiair!M16</f>
        <v>0</v>
      </c>
      <c r="O10" s="718">
        <f ca="1">tertiair!N16</f>
        <v>511.2661315347774</v>
      </c>
      <c r="P10" s="718">
        <f>tertiair!O16</f>
        <v>0</v>
      </c>
      <c r="Q10" s="719">
        <f>tertiair!P16</f>
        <v>38.133333333333333</v>
      </c>
      <c r="R10" s="721">
        <f ca="1">SUM(C10:Q10)</f>
        <v>8637.9203175130988</v>
      </c>
      <c r="S10" s="67"/>
    </row>
    <row r="11" spans="1:19" s="474" customFormat="1">
      <c r="A11" s="870" t="s">
        <v>225</v>
      </c>
      <c r="B11" s="875"/>
      <c r="C11" s="718">
        <f>huishoudens!B8</f>
        <v>5503.1558115193184</v>
      </c>
      <c r="D11" s="718">
        <f>huishoudens!C8</f>
        <v>0</v>
      </c>
      <c r="E11" s="718">
        <f>huishoudens!D8</f>
        <v>7884.6697317239014</v>
      </c>
      <c r="F11" s="718">
        <f>huishoudens!E8</f>
        <v>2517.4742969389954</v>
      </c>
      <c r="G11" s="718">
        <f>huishoudens!F8</f>
        <v>7212.4766583201572</v>
      </c>
      <c r="H11" s="718">
        <f>huishoudens!G8</f>
        <v>0</v>
      </c>
      <c r="I11" s="718">
        <f>huishoudens!H8</f>
        <v>0</v>
      </c>
      <c r="J11" s="718">
        <f>huishoudens!I8</f>
        <v>0</v>
      </c>
      <c r="K11" s="718">
        <f>huishoudens!J8</f>
        <v>2623.3683263851508</v>
      </c>
      <c r="L11" s="718">
        <f>huishoudens!K8</f>
        <v>0</v>
      </c>
      <c r="M11" s="718">
        <f>huishoudens!L8</f>
        <v>0</v>
      </c>
      <c r="N11" s="718">
        <f>huishoudens!M8</f>
        <v>0</v>
      </c>
      <c r="O11" s="718">
        <f>huishoudens!N8</f>
        <v>5362.1348367517412</v>
      </c>
      <c r="P11" s="718">
        <f>huishoudens!O8</f>
        <v>106.30666666666667</v>
      </c>
      <c r="Q11" s="719">
        <f>huishoudens!P8</f>
        <v>247.86666666666667</v>
      </c>
      <c r="R11" s="721">
        <f>SUM(C11:Q11)</f>
        <v>31457.452994972598</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5462.2304302708808</v>
      </c>
      <c r="D13" s="718">
        <f>industrie!C18</f>
        <v>0</v>
      </c>
      <c r="E13" s="718">
        <f>industrie!D18</f>
        <v>340.19255949837407</v>
      </c>
      <c r="F13" s="718">
        <f>industrie!E18</f>
        <v>428.57487859032096</v>
      </c>
      <c r="G13" s="718">
        <f>industrie!F18</f>
        <v>1416.2502917565052</v>
      </c>
      <c r="H13" s="718">
        <f>industrie!G18</f>
        <v>0</v>
      </c>
      <c r="I13" s="718">
        <f>industrie!H18</f>
        <v>0</v>
      </c>
      <c r="J13" s="718">
        <f>industrie!I18</f>
        <v>0</v>
      </c>
      <c r="K13" s="718">
        <f>industrie!J18</f>
        <v>14.376799420468299</v>
      </c>
      <c r="L13" s="718">
        <f>industrie!K18</f>
        <v>0</v>
      </c>
      <c r="M13" s="718">
        <f>industrie!L18</f>
        <v>0</v>
      </c>
      <c r="N13" s="718">
        <f>industrie!M18</f>
        <v>0</v>
      </c>
      <c r="O13" s="718">
        <f>industrie!N18</f>
        <v>1137.5709848650536</v>
      </c>
      <c r="P13" s="718">
        <f>industrie!O18</f>
        <v>0</v>
      </c>
      <c r="Q13" s="719">
        <f>industrie!P18</f>
        <v>0</v>
      </c>
      <c r="R13" s="721">
        <f>SUM(C13:Q13)</f>
        <v>8799.1959444016029</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14514.757676668654</v>
      </c>
      <c r="D15" s="723">
        <f t="shared" ref="D15:Q15" ca="1" si="0">SUM(D9:D14)</f>
        <v>0</v>
      </c>
      <c r="E15" s="723">
        <f t="shared" ca="1" si="0"/>
        <v>12104.051730992094</v>
      </c>
      <c r="F15" s="723">
        <f t="shared" si="0"/>
        <v>2997.3486816304094</v>
      </c>
      <c r="G15" s="723">
        <f t="shared" ca="1" si="0"/>
        <v>9237.3744840194086</v>
      </c>
      <c r="H15" s="723">
        <f t="shared" si="0"/>
        <v>0</v>
      </c>
      <c r="I15" s="723">
        <f t="shared" si="0"/>
        <v>0</v>
      </c>
      <c r="J15" s="723">
        <f t="shared" si="0"/>
        <v>0</v>
      </c>
      <c r="K15" s="723">
        <f t="shared" si="0"/>
        <v>2637.7580637584942</v>
      </c>
      <c r="L15" s="723">
        <f t="shared" si="0"/>
        <v>0</v>
      </c>
      <c r="M15" s="723">
        <f t="shared" ca="1" si="0"/>
        <v>0</v>
      </c>
      <c r="N15" s="723">
        <f t="shared" si="0"/>
        <v>0</v>
      </c>
      <c r="O15" s="723">
        <f t="shared" ca="1" si="0"/>
        <v>7010.971953151573</v>
      </c>
      <c r="P15" s="723">
        <f t="shared" si="0"/>
        <v>106.30666666666667</v>
      </c>
      <c r="Q15" s="724">
        <f t="shared" si="0"/>
        <v>286</v>
      </c>
      <c r="R15" s="725">
        <f ca="1">SUM(R9:R14)</f>
        <v>48894.569256887298</v>
      </c>
      <c r="S15" s="67"/>
    </row>
    <row r="16" spans="1:19" s="474" customFormat="1" ht="15.75">
      <c r="A16" s="872" t="s">
        <v>227</v>
      </c>
      <c r="B16" s="768"/>
      <c r="C16" s="1070"/>
      <c r="D16" s="1070"/>
      <c r="E16" s="1070"/>
      <c r="F16" s="1070"/>
      <c r="G16" s="1070"/>
      <c r="H16" s="1070"/>
      <c r="I16" s="1070"/>
      <c r="J16" s="1070"/>
      <c r="K16" s="1070"/>
      <c r="L16" s="1070"/>
      <c r="M16" s="1070"/>
      <c r="N16" s="1070"/>
      <c r="O16" s="1070"/>
      <c r="P16" s="1070"/>
      <c r="Q16" s="107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212.7872338536589</v>
      </c>
      <c r="I18" s="718">
        <f>transport!H54</f>
        <v>0</v>
      </c>
      <c r="J18" s="718">
        <f>transport!I54</f>
        <v>0</v>
      </c>
      <c r="K18" s="718">
        <f>transport!J54</f>
        <v>0</v>
      </c>
      <c r="L18" s="718">
        <f>transport!K54</f>
        <v>0</v>
      </c>
      <c r="M18" s="718">
        <f>transport!L54</f>
        <v>0</v>
      </c>
      <c r="N18" s="718">
        <f>transport!M54</f>
        <v>12.08537551739032</v>
      </c>
      <c r="O18" s="718">
        <f>transport!N54</f>
        <v>0</v>
      </c>
      <c r="P18" s="718">
        <f>transport!O54</f>
        <v>0</v>
      </c>
      <c r="Q18" s="719">
        <f>transport!P54</f>
        <v>0</v>
      </c>
      <c r="R18" s="721">
        <f>SUM(C18:Q18)</f>
        <v>224.87260937104924</v>
      </c>
      <c r="S18" s="67"/>
    </row>
    <row r="19" spans="1:19" s="474" customFormat="1" ht="15" thickBot="1">
      <c r="A19" s="870" t="s">
        <v>307</v>
      </c>
      <c r="B19" s="875"/>
      <c r="C19" s="727">
        <f>transport!B14</f>
        <v>6.4859648957556741</v>
      </c>
      <c r="D19" s="727">
        <f>transport!C14</f>
        <v>0</v>
      </c>
      <c r="E19" s="727">
        <f>transport!D14</f>
        <v>28.750398219214031</v>
      </c>
      <c r="F19" s="727">
        <f>transport!E14</f>
        <v>37.132718763883183</v>
      </c>
      <c r="G19" s="727">
        <f>transport!F14</f>
        <v>0</v>
      </c>
      <c r="H19" s="727">
        <f>transport!G14</f>
        <v>12258.430750205762</v>
      </c>
      <c r="I19" s="727">
        <f>transport!H14</f>
        <v>3202.2109719092482</v>
      </c>
      <c r="J19" s="727">
        <f>transport!I14</f>
        <v>0</v>
      </c>
      <c r="K19" s="727">
        <f>transport!J14</f>
        <v>0</v>
      </c>
      <c r="L19" s="727">
        <f>transport!K14</f>
        <v>0</v>
      </c>
      <c r="M19" s="727">
        <f>transport!L14</f>
        <v>0</v>
      </c>
      <c r="N19" s="727">
        <f>transport!M14</f>
        <v>811.24138016725908</v>
      </c>
      <c r="O19" s="727">
        <f>transport!N14</f>
        <v>0</v>
      </c>
      <c r="P19" s="727">
        <f>transport!O14</f>
        <v>0</v>
      </c>
      <c r="Q19" s="728">
        <f>transport!P14</f>
        <v>0</v>
      </c>
      <c r="R19" s="729">
        <f>SUM(C19:Q19)</f>
        <v>16344.252184161121</v>
      </c>
      <c r="S19" s="67"/>
    </row>
    <row r="20" spans="1:19" s="474" customFormat="1" ht="15.75" thickBot="1">
      <c r="A20" s="730" t="s">
        <v>230</v>
      </c>
      <c r="B20" s="878"/>
      <c r="C20" s="873">
        <f>SUM(C17:C19)</f>
        <v>6.4859648957556741</v>
      </c>
      <c r="D20" s="731">
        <f t="shared" ref="D20:R20" si="1">SUM(D17:D19)</f>
        <v>0</v>
      </c>
      <c r="E20" s="731">
        <f t="shared" si="1"/>
        <v>28.750398219214031</v>
      </c>
      <c r="F20" s="731">
        <f t="shared" si="1"/>
        <v>37.132718763883183</v>
      </c>
      <c r="G20" s="731">
        <f t="shared" si="1"/>
        <v>0</v>
      </c>
      <c r="H20" s="731">
        <f t="shared" si="1"/>
        <v>12471.21798405942</v>
      </c>
      <c r="I20" s="731">
        <f t="shared" si="1"/>
        <v>3202.2109719092482</v>
      </c>
      <c r="J20" s="731">
        <f t="shared" si="1"/>
        <v>0</v>
      </c>
      <c r="K20" s="731">
        <f t="shared" si="1"/>
        <v>0</v>
      </c>
      <c r="L20" s="731">
        <f t="shared" si="1"/>
        <v>0</v>
      </c>
      <c r="M20" s="731">
        <f t="shared" si="1"/>
        <v>0</v>
      </c>
      <c r="N20" s="731">
        <f t="shared" si="1"/>
        <v>823.32675568464936</v>
      </c>
      <c r="O20" s="731">
        <f t="shared" si="1"/>
        <v>0</v>
      </c>
      <c r="P20" s="731">
        <f t="shared" si="1"/>
        <v>0</v>
      </c>
      <c r="Q20" s="732">
        <f t="shared" si="1"/>
        <v>0</v>
      </c>
      <c r="R20" s="733">
        <f t="shared" si="1"/>
        <v>16569.12479353217</v>
      </c>
      <c r="S20" s="67"/>
    </row>
    <row r="21" spans="1:19" s="474" customFormat="1" ht="15.75">
      <c r="A21" s="872" t="s">
        <v>237</v>
      </c>
      <c r="B21" s="768"/>
      <c r="C21" s="1070"/>
      <c r="D21" s="1070"/>
      <c r="E21" s="1070"/>
      <c r="F21" s="1070"/>
      <c r="G21" s="1070"/>
      <c r="H21" s="1070"/>
      <c r="I21" s="1070"/>
      <c r="J21" s="1070"/>
      <c r="K21" s="1070"/>
      <c r="L21" s="1070"/>
      <c r="M21" s="1070"/>
      <c r="N21" s="1070"/>
      <c r="O21" s="1070"/>
      <c r="P21" s="1070"/>
      <c r="Q21" s="1070"/>
      <c r="R21" s="726"/>
      <c r="S21" s="67"/>
    </row>
    <row r="22" spans="1:19" s="474" customFormat="1" ht="15" thickBot="1">
      <c r="A22" s="870" t="s">
        <v>633</v>
      </c>
      <c r="B22" s="879"/>
      <c r="C22" s="727">
        <f>+landbouw!B8</f>
        <v>5579.9248037979196</v>
      </c>
      <c r="D22" s="727">
        <f>+landbouw!C8</f>
        <v>10.392857142857141</v>
      </c>
      <c r="E22" s="727">
        <f>+landbouw!D8</f>
        <v>656.9695834254519</v>
      </c>
      <c r="F22" s="727">
        <f>+landbouw!E8</f>
        <v>164.01103304110686</v>
      </c>
      <c r="G22" s="727">
        <f>+landbouw!F8</f>
        <v>23245.665209311988</v>
      </c>
      <c r="H22" s="727">
        <f>+landbouw!G8</f>
        <v>0</v>
      </c>
      <c r="I22" s="727">
        <f>+landbouw!H8</f>
        <v>0</v>
      </c>
      <c r="J22" s="727">
        <f>+landbouw!I8</f>
        <v>0</v>
      </c>
      <c r="K22" s="727">
        <f>+landbouw!J8</f>
        <v>808.41127381347337</v>
      </c>
      <c r="L22" s="727">
        <f>+landbouw!K8</f>
        <v>0</v>
      </c>
      <c r="M22" s="727">
        <f>+landbouw!L8</f>
        <v>0</v>
      </c>
      <c r="N22" s="727">
        <f>+landbouw!M8</f>
        <v>0</v>
      </c>
      <c r="O22" s="727">
        <f>+landbouw!N8</f>
        <v>0</v>
      </c>
      <c r="P22" s="727">
        <f>+landbouw!O8</f>
        <v>0</v>
      </c>
      <c r="Q22" s="728">
        <f>+landbouw!P8</f>
        <v>0</v>
      </c>
      <c r="R22" s="729">
        <f>SUM(C22:Q22)</f>
        <v>30465.374760532795</v>
      </c>
      <c r="S22" s="67"/>
    </row>
    <row r="23" spans="1:19" s="474" customFormat="1" ht="17.25" thickTop="1" thickBot="1">
      <c r="A23" s="734" t="s">
        <v>116</v>
      </c>
      <c r="B23" s="864"/>
      <c r="C23" s="735">
        <f ca="1">C20+C15+C22</f>
        <v>20101.168445362331</v>
      </c>
      <c r="D23" s="735">
        <f t="shared" ref="D23:Q23" ca="1" si="2">D20+D15+D22</f>
        <v>10.392857142857141</v>
      </c>
      <c r="E23" s="735">
        <f t="shared" ca="1" si="2"/>
        <v>12789.771712636761</v>
      </c>
      <c r="F23" s="735">
        <f t="shared" si="2"/>
        <v>3198.4924334353991</v>
      </c>
      <c r="G23" s="735">
        <f t="shared" ca="1" si="2"/>
        <v>32483.039693331397</v>
      </c>
      <c r="H23" s="735">
        <f t="shared" si="2"/>
        <v>12471.21798405942</v>
      </c>
      <c r="I23" s="735">
        <f t="shared" si="2"/>
        <v>3202.2109719092482</v>
      </c>
      <c r="J23" s="735">
        <f t="shared" si="2"/>
        <v>0</v>
      </c>
      <c r="K23" s="735">
        <f t="shared" si="2"/>
        <v>3446.1693375719678</v>
      </c>
      <c r="L23" s="735">
        <f t="shared" si="2"/>
        <v>0</v>
      </c>
      <c r="M23" s="735">
        <f t="shared" ca="1" si="2"/>
        <v>0</v>
      </c>
      <c r="N23" s="735">
        <f t="shared" si="2"/>
        <v>823.32675568464936</v>
      </c>
      <c r="O23" s="735">
        <f t="shared" ca="1" si="2"/>
        <v>7010.971953151573</v>
      </c>
      <c r="P23" s="735">
        <f t="shared" si="2"/>
        <v>106.30666666666667</v>
      </c>
      <c r="Q23" s="736">
        <f t="shared" si="2"/>
        <v>286</v>
      </c>
      <c r="R23" s="737">
        <f ca="1">R20+R15+R22</f>
        <v>95929.06881095226</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071"/>
      <c r="B27" s="1071"/>
      <c r="C27" s="107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20"/>
      <c r="B29" s="1020"/>
      <c r="C29" s="1020"/>
      <c r="D29" s="1020"/>
      <c r="E29" s="1020"/>
      <c r="F29" s="1020"/>
      <c r="G29" s="1020"/>
      <c r="H29" s="1020"/>
      <c r="I29" s="1020"/>
      <c r="J29" s="1020"/>
      <c r="K29" s="1020"/>
      <c r="L29" s="1020"/>
      <c r="M29" s="1020"/>
      <c r="N29" s="1020"/>
      <c r="O29" s="1020"/>
      <c r="P29" s="1020"/>
      <c r="Q29" s="1020"/>
      <c r="R29" s="102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072"/>
      <c r="B31" s="882"/>
      <c r="C31" s="1074" t="s">
        <v>347</v>
      </c>
      <c r="D31" s="1075"/>
      <c r="E31" s="1075"/>
      <c r="F31" s="1075"/>
      <c r="G31" s="1075"/>
      <c r="H31" s="1075"/>
      <c r="I31" s="1075"/>
      <c r="J31" s="1075"/>
      <c r="K31" s="1075"/>
      <c r="L31" s="1075"/>
      <c r="M31" s="1075"/>
      <c r="N31" s="1075"/>
      <c r="O31" s="1075"/>
      <c r="P31" s="1075"/>
      <c r="Q31" s="1075"/>
      <c r="R31" s="1076"/>
    </row>
    <row r="32" spans="1:19" ht="16.5" thickTop="1">
      <c r="A32" s="1073"/>
      <c r="B32" s="883"/>
      <c r="C32" s="1077" t="s">
        <v>21</v>
      </c>
      <c r="D32" s="1037" t="s">
        <v>232</v>
      </c>
      <c r="E32" s="1079" t="s">
        <v>197</v>
      </c>
      <c r="F32" s="1080"/>
      <c r="G32" s="1080"/>
      <c r="H32" s="1080"/>
      <c r="I32" s="1080"/>
      <c r="J32" s="1080"/>
      <c r="K32" s="1080"/>
      <c r="L32" s="1081"/>
      <c r="M32" s="1079" t="s">
        <v>198</v>
      </c>
      <c r="N32" s="1080"/>
      <c r="O32" s="1080"/>
      <c r="P32" s="1080"/>
      <c r="Q32" s="1080"/>
      <c r="R32" s="1021" t="s">
        <v>116</v>
      </c>
    </row>
    <row r="33" spans="1:18" ht="45.75" thickBot="1">
      <c r="A33" s="1073"/>
      <c r="B33" s="883"/>
      <c r="C33" s="1078"/>
      <c r="D33" s="104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2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642.48341164518627</v>
      </c>
      <c r="D36" s="718">
        <f ca="1">tertiair!C20</f>
        <v>0</v>
      </c>
      <c r="E36" s="718">
        <f ca="1">tertiair!D20</f>
        <v>783.59626683350336</v>
      </c>
      <c r="F36" s="718">
        <f>tertiair!E20</f>
        <v>11.644987884948126</v>
      </c>
      <c r="G36" s="718">
        <f ca="1">tertiair!F20</f>
        <v>162.50889156271322</v>
      </c>
      <c r="H36" s="718">
        <f>tertiair!G20</f>
        <v>0</v>
      </c>
      <c r="I36" s="718">
        <f>tertiair!H20</f>
        <v>0</v>
      </c>
      <c r="J36" s="718">
        <f>tertiair!I20</f>
        <v>0</v>
      </c>
      <c r="K36" s="718">
        <f>tertiair!J20</f>
        <v>4.5800353178870766E-3</v>
      </c>
      <c r="L36" s="718">
        <f>tertiair!K20</f>
        <v>0</v>
      </c>
      <c r="M36" s="718">
        <f ca="1">tertiair!L20</f>
        <v>0</v>
      </c>
      <c r="N36" s="718">
        <f>tertiair!M20</f>
        <v>0</v>
      </c>
      <c r="O36" s="718">
        <f ca="1">tertiair!N20</f>
        <v>0</v>
      </c>
      <c r="P36" s="718">
        <f>tertiair!O20</f>
        <v>0</v>
      </c>
      <c r="Q36" s="828">
        <f>tertiair!P20</f>
        <v>0</v>
      </c>
      <c r="R36" s="917">
        <f ca="1">SUM(C36:Q36)</f>
        <v>1600.2381379616688</v>
      </c>
    </row>
    <row r="37" spans="1:18">
      <c r="A37" s="885" t="s">
        <v>225</v>
      </c>
      <c r="B37" s="892"/>
      <c r="C37" s="718">
        <f ca="1">huishoudens!B12</f>
        <v>996.14435554870022</v>
      </c>
      <c r="D37" s="718">
        <f ca="1">huishoudens!C12</f>
        <v>0</v>
      </c>
      <c r="E37" s="718">
        <f>huishoudens!D12</f>
        <v>1592.7032858082282</v>
      </c>
      <c r="F37" s="718">
        <f>huishoudens!E12</f>
        <v>571.46666540515196</v>
      </c>
      <c r="G37" s="718">
        <f>huishoudens!F12</f>
        <v>1925.7312677714822</v>
      </c>
      <c r="H37" s="718">
        <f>huishoudens!G12</f>
        <v>0</v>
      </c>
      <c r="I37" s="718">
        <f>huishoudens!H12</f>
        <v>0</v>
      </c>
      <c r="J37" s="718">
        <f>huishoudens!I12</f>
        <v>0</v>
      </c>
      <c r="K37" s="718">
        <f>huishoudens!J12</f>
        <v>928.67238754034338</v>
      </c>
      <c r="L37" s="718">
        <f>huishoudens!K12</f>
        <v>0</v>
      </c>
      <c r="M37" s="718">
        <f>huishoudens!L12</f>
        <v>0</v>
      </c>
      <c r="N37" s="718">
        <f>huishoudens!M12</f>
        <v>0</v>
      </c>
      <c r="O37" s="718">
        <f>huishoudens!N12</f>
        <v>0</v>
      </c>
      <c r="P37" s="718">
        <f>huishoudens!O12</f>
        <v>0</v>
      </c>
      <c r="Q37" s="828">
        <f>huishoudens!P12</f>
        <v>0</v>
      </c>
      <c r="R37" s="917">
        <f ca="1">SUM(C37:Q37)</f>
        <v>6014.7179620739053</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988.73631752005235</v>
      </c>
      <c r="D39" s="718">
        <f ca="1">industrie!C22</f>
        <v>0</v>
      </c>
      <c r="E39" s="718">
        <f>industrie!D22</f>
        <v>68.718897018671569</v>
      </c>
      <c r="F39" s="718">
        <f>industrie!E22</f>
        <v>97.286497440002861</v>
      </c>
      <c r="G39" s="718">
        <f>industrie!F22</f>
        <v>378.1388278989869</v>
      </c>
      <c r="H39" s="718">
        <f>industrie!G22</f>
        <v>0</v>
      </c>
      <c r="I39" s="718">
        <f>industrie!H22</f>
        <v>0</v>
      </c>
      <c r="J39" s="718">
        <f>industrie!I22</f>
        <v>0</v>
      </c>
      <c r="K39" s="718">
        <f>industrie!J22</f>
        <v>5.0893869948457775</v>
      </c>
      <c r="L39" s="718">
        <f>industrie!K22</f>
        <v>0</v>
      </c>
      <c r="M39" s="718">
        <f>industrie!L22</f>
        <v>0</v>
      </c>
      <c r="N39" s="718">
        <f>industrie!M22</f>
        <v>0</v>
      </c>
      <c r="O39" s="718">
        <f>industrie!N22</f>
        <v>0</v>
      </c>
      <c r="P39" s="718">
        <f>industrie!O22</f>
        <v>0</v>
      </c>
      <c r="Q39" s="828">
        <f>industrie!P22</f>
        <v>0</v>
      </c>
      <c r="R39" s="918">
        <f ca="1">SUM(C39:Q39)</f>
        <v>1537.9699268725597</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2627.3640847139386</v>
      </c>
      <c r="D41" s="763">
        <f t="shared" ref="D41:R41" ca="1" si="4">SUM(D35:D40)</f>
        <v>0</v>
      </c>
      <c r="E41" s="763">
        <f t="shared" ca="1" si="4"/>
        <v>2445.0184496604033</v>
      </c>
      <c r="F41" s="763">
        <f t="shared" si="4"/>
        <v>680.398150730103</v>
      </c>
      <c r="G41" s="763">
        <f t="shared" ca="1" si="4"/>
        <v>2466.3789872331827</v>
      </c>
      <c r="H41" s="763">
        <f t="shared" si="4"/>
        <v>0</v>
      </c>
      <c r="I41" s="763">
        <f t="shared" si="4"/>
        <v>0</v>
      </c>
      <c r="J41" s="763">
        <f t="shared" si="4"/>
        <v>0</v>
      </c>
      <c r="K41" s="763">
        <f t="shared" si="4"/>
        <v>933.76635457050702</v>
      </c>
      <c r="L41" s="763">
        <f t="shared" si="4"/>
        <v>0</v>
      </c>
      <c r="M41" s="763">
        <f t="shared" ca="1" si="4"/>
        <v>0</v>
      </c>
      <c r="N41" s="763">
        <f t="shared" si="4"/>
        <v>0</v>
      </c>
      <c r="O41" s="763">
        <f t="shared" ca="1" si="4"/>
        <v>0</v>
      </c>
      <c r="P41" s="763">
        <f t="shared" si="4"/>
        <v>0</v>
      </c>
      <c r="Q41" s="764">
        <f t="shared" si="4"/>
        <v>0</v>
      </c>
      <c r="R41" s="765">
        <f t="shared" ca="1" si="4"/>
        <v>9152.9260269081333</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56.814191438926933</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56.814191438926933</v>
      </c>
    </row>
    <row r="45" spans="1:18" ht="15" thickBot="1">
      <c r="A45" s="888" t="s">
        <v>307</v>
      </c>
      <c r="B45" s="898"/>
      <c r="C45" s="727">
        <f ca="1">transport!B18</f>
        <v>1.1740458643147667</v>
      </c>
      <c r="D45" s="727">
        <f>transport!C18</f>
        <v>0</v>
      </c>
      <c r="E45" s="727">
        <f>transport!D18</f>
        <v>5.8075804402812343</v>
      </c>
      <c r="F45" s="727">
        <f>transport!E18</f>
        <v>8.4291271594014834</v>
      </c>
      <c r="G45" s="727">
        <f>transport!F18</f>
        <v>0</v>
      </c>
      <c r="H45" s="727">
        <f>transport!G18</f>
        <v>3273.0010103049385</v>
      </c>
      <c r="I45" s="727">
        <f>transport!H18</f>
        <v>797.35053200540278</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4085.7622957743388</v>
      </c>
    </row>
    <row r="46" spans="1:18" ht="15.75" thickBot="1">
      <c r="A46" s="886" t="s">
        <v>230</v>
      </c>
      <c r="B46" s="899"/>
      <c r="C46" s="763">
        <f t="shared" ref="C46:R46" ca="1" si="5">SUM(C43:C45)</f>
        <v>1.1740458643147667</v>
      </c>
      <c r="D46" s="763">
        <f t="shared" ca="1" si="5"/>
        <v>0</v>
      </c>
      <c r="E46" s="763">
        <f t="shared" si="5"/>
        <v>5.8075804402812343</v>
      </c>
      <c r="F46" s="763">
        <f t="shared" si="5"/>
        <v>8.4291271594014834</v>
      </c>
      <c r="G46" s="763">
        <f t="shared" si="5"/>
        <v>0</v>
      </c>
      <c r="H46" s="763">
        <f t="shared" si="5"/>
        <v>3329.8152017438656</v>
      </c>
      <c r="I46" s="763">
        <f t="shared" si="5"/>
        <v>797.35053200540278</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4142.5764872132659</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1010.0405636443198</v>
      </c>
      <c r="D48" s="718">
        <f ca="1">+landbouw!C12</f>
        <v>0</v>
      </c>
      <c r="E48" s="718">
        <f>+landbouw!D12</f>
        <v>132.7078558519413</v>
      </c>
      <c r="F48" s="718">
        <f>+landbouw!E12</f>
        <v>37.230504500331257</v>
      </c>
      <c r="G48" s="718">
        <f>+landbouw!F12</f>
        <v>6206.5926108863014</v>
      </c>
      <c r="H48" s="718">
        <f>+landbouw!G12</f>
        <v>0</v>
      </c>
      <c r="I48" s="718">
        <f>+landbouw!H12</f>
        <v>0</v>
      </c>
      <c r="J48" s="718">
        <f>+landbouw!I12</f>
        <v>0</v>
      </c>
      <c r="K48" s="718">
        <f>+landbouw!J12</f>
        <v>286.17759092996954</v>
      </c>
      <c r="L48" s="718">
        <f>+landbouw!K12</f>
        <v>0</v>
      </c>
      <c r="M48" s="718">
        <f>+landbouw!L12</f>
        <v>0</v>
      </c>
      <c r="N48" s="718">
        <f>+landbouw!M12</f>
        <v>0</v>
      </c>
      <c r="O48" s="718">
        <f>+landbouw!N12</f>
        <v>0</v>
      </c>
      <c r="P48" s="718">
        <f>+landbouw!O12</f>
        <v>0</v>
      </c>
      <c r="Q48" s="719">
        <f>+landbouw!P12</f>
        <v>0</v>
      </c>
      <c r="R48" s="761">
        <f ca="1">SUM(C48:Q48)</f>
        <v>7672.7491258128639</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052"/>
      <c r="D50" s="1053"/>
      <c r="E50" s="1053"/>
      <c r="F50" s="1053"/>
      <c r="G50" s="1053"/>
      <c r="H50" s="1053"/>
      <c r="I50" s="1053"/>
      <c r="J50" s="1053"/>
      <c r="K50" s="1053"/>
      <c r="L50" s="1053"/>
      <c r="M50" s="1053"/>
      <c r="N50" s="1053"/>
      <c r="O50" s="1053"/>
      <c r="P50" s="1053"/>
      <c r="Q50" s="1053"/>
      <c r="R50" s="770"/>
    </row>
    <row r="51" spans="1:18" ht="15">
      <c r="A51" s="890" t="s">
        <v>239</v>
      </c>
      <c r="B51" s="875"/>
      <c r="C51" s="1054"/>
      <c r="D51" s="1055"/>
      <c r="E51" s="1055"/>
      <c r="F51" s="1055"/>
      <c r="G51" s="1055"/>
      <c r="H51" s="1055"/>
      <c r="I51" s="1055"/>
      <c r="J51" s="1055"/>
      <c r="K51" s="1055"/>
      <c r="L51" s="1055"/>
      <c r="M51" s="1055"/>
      <c r="N51" s="1055"/>
      <c r="O51" s="1055"/>
      <c r="P51" s="1055"/>
      <c r="Q51" s="1055"/>
      <c r="R51" s="771"/>
    </row>
    <row r="52" spans="1:18" ht="15" thickBot="1">
      <c r="A52" s="902" t="s">
        <v>240</v>
      </c>
      <c r="B52" s="903"/>
      <c r="C52" s="1054"/>
      <c r="D52" s="1055"/>
      <c r="E52" s="1055"/>
      <c r="F52" s="1055"/>
      <c r="G52" s="1055"/>
      <c r="H52" s="1055"/>
      <c r="I52" s="1055"/>
      <c r="J52" s="1055"/>
      <c r="K52" s="1055"/>
      <c r="L52" s="1055"/>
      <c r="M52" s="1055"/>
      <c r="N52" s="1055"/>
      <c r="O52" s="1055"/>
      <c r="P52" s="1055"/>
      <c r="Q52" s="1055"/>
      <c r="R52" s="762"/>
    </row>
    <row r="53" spans="1:18" ht="16.5" thickBot="1">
      <c r="A53" s="906" t="s">
        <v>116</v>
      </c>
      <c r="B53" s="907"/>
      <c r="C53" s="772">
        <f ca="1">C41+C46+C48</f>
        <v>3638.5786942225732</v>
      </c>
      <c r="D53" s="773">
        <f t="shared" ref="D53:Q53" ca="1" si="6">D41+D46+D48</f>
        <v>0</v>
      </c>
      <c r="E53" s="773">
        <f t="shared" ca="1" si="6"/>
        <v>2583.5338859526255</v>
      </c>
      <c r="F53" s="773">
        <f t="shared" si="6"/>
        <v>726.05778238983567</v>
      </c>
      <c r="G53" s="773">
        <f t="shared" ca="1" si="6"/>
        <v>8672.971598119484</v>
      </c>
      <c r="H53" s="773">
        <f t="shared" si="6"/>
        <v>3329.8152017438656</v>
      </c>
      <c r="I53" s="773">
        <f t="shared" si="6"/>
        <v>797.35053200540278</v>
      </c>
      <c r="J53" s="773">
        <f t="shared" si="6"/>
        <v>0</v>
      </c>
      <c r="K53" s="773">
        <f t="shared" si="6"/>
        <v>1219.9439455004765</v>
      </c>
      <c r="L53" s="773">
        <f t="shared" si="6"/>
        <v>0</v>
      </c>
      <c r="M53" s="773">
        <f t="shared" ca="1" si="6"/>
        <v>0</v>
      </c>
      <c r="N53" s="773">
        <f t="shared" si="6"/>
        <v>0</v>
      </c>
      <c r="O53" s="773">
        <f t="shared" ca="1" si="6"/>
        <v>0</v>
      </c>
      <c r="P53" s="773">
        <f>P41+P46+P48</f>
        <v>0</v>
      </c>
      <c r="Q53" s="774">
        <f t="shared" si="6"/>
        <v>0</v>
      </c>
      <c r="R53" s="775">
        <f ca="1">R41+R46+R48</f>
        <v>20968.251639934264</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0.1810132930387961</v>
      </c>
      <c r="D55" s="836">
        <f t="shared" ca="1" si="7"/>
        <v>0</v>
      </c>
      <c r="E55" s="836">
        <f t="shared" ca="1" si="7"/>
        <v>0.20199999999999999</v>
      </c>
      <c r="F55" s="836">
        <f t="shared" si="7"/>
        <v>0.22700000000000004</v>
      </c>
      <c r="G55" s="836">
        <f t="shared" ca="1" si="7"/>
        <v>0.26700000000000002</v>
      </c>
      <c r="H55" s="836">
        <f t="shared" si="7"/>
        <v>0.26700000000000002</v>
      </c>
      <c r="I55" s="836">
        <f t="shared" si="7"/>
        <v>0.249</v>
      </c>
      <c r="J55" s="836">
        <f t="shared" si="7"/>
        <v>0</v>
      </c>
      <c r="K55" s="836">
        <f t="shared" si="7"/>
        <v>0.35399999999999998</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20"/>
      <c r="B59" s="1020"/>
      <c r="C59" s="1020"/>
      <c r="D59" s="1020"/>
      <c r="E59" s="1020"/>
      <c r="F59" s="1020"/>
      <c r="G59" s="1020"/>
      <c r="H59" s="1020"/>
      <c r="I59" s="1020"/>
      <c r="J59" s="1020"/>
      <c r="K59" s="1020"/>
      <c r="L59" s="1020"/>
      <c r="M59" s="1020"/>
      <c r="N59" s="1020"/>
      <c r="O59" s="1020"/>
      <c r="P59" s="1020"/>
      <c r="Q59" s="102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21" t="s">
        <v>241</v>
      </c>
      <c r="B61" s="1035" t="s">
        <v>351</v>
      </c>
      <c r="C61" s="1027"/>
      <c r="D61" s="1024" t="s">
        <v>352</v>
      </c>
      <c r="E61" s="1025"/>
      <c r="F61" s="1025"/>
      <c r="G61" s="1025"/>
      <c r="H61" s="1025"/>
      <c r="I61" s="1025"/>
      <c r="J61" s="1025"/>
      <c r="K61" s="1025"/>
      <c r="L61" s="1025"/>
      <c r="M61" s="1026"/>
      <c r="N61" s="1027" t="s">
        <v>642</v>
      </c>
      <c r="O61" s="1060" t="s">
        <v>641</v>
      </c>
      <c r="P61" s="1061"/>
      <c r="Q61" s="785"/>
      <c r="R61" s="742"/>
    </row>
    <row r="62" spans="1:18" ht="31.5" thickTop="1" thickBot="1">
      <c r="A62" s="1022"/>
      <c r="B62" s="1059"/>
      <c r="C62" s="1029"/>
      <c r="D62" s="1056" t="s">
        <v>197</v>
      </c>
      <c r="E62" s="1057"/>
      <c r="F62" s="1057"/>
      <c r="G62" s="1057"/>
      <c r="H62" s="1058"/>
      <c r="I62" s="786" t="s">
        <v>245</v>
      </c>
      <c r="J62" s="787" t="s">
        <v>246</v>
      </c>
      <c r="K62" s="787" t="s">
        <v>234</v>
      </c>
      <c r="L62" s="787" t="s">
        <v>247</v>
      </c>
      <c r="M62" s="1041" t="s">
        <v>127</v>
      </c>
      <c r="N62" s="1028"/>
      <c r="O62" s="926"/>
      <c r="P62" s="927"/>
      <c r="Q62" s="785"/>
      <c r="R62" s="742"/>
    </row>
    <row r="63" spans="1:18" ht="95.25" customHeight="1" thickTop="1" thickBot="1">
      <c r="A63" s="1023"/>
      <c r="B63" s="854" t="s">
        <v>555</v>
      </c>
      <c r="C63" s="854" t="s">
        <v>640</v>
      </c>
      <c r="D63" s="788" t="s">
        <v>199</v>
      </c>
      <c r="E63" s="789" t="s">
        <v>200</v>
      </c>
      <c r="F63" s="790" t="s">
        <v>201</v>
      </c>
      <c r="G63" s="791" t="s">
        <v>203</v>
      </c>
      <c r="H63" s="792" t="s">
        <v>204</v>
      </c>
      <c r="I63" s="793"/>
      <c r="J63" s="789"/>
      <c r="K63" s="789"/>
      <c r="L63" s="789"/>
      <c r="M63" s="1065"/>
      <c r="N63" s="1029"/>
      <c r="O63" s="857" t="s">
        <v>643</v>
      </c>
      <c r="P63" s="855" t="s">
        <v>644</v>
      </c>
      <c r="Q63" s="785"/>
      <c r="R63" s="742"/>
    </row>
    <row r="64" spans="1:18" ht="15.75" thickTop="1">
      <c r="A64" s="794" t="s">
        <v>249</v>
      </c>
      <c r="B64" s="908">
        <f>'lokale energieproductie'!B4</f>
        <v>0</v>
      </c>
      <c r="C64" s="795">
        <f>'lokale energieproductie'!B4</f>
        <v>0</v>
      </c>
      <c r="D64" s="1066"/>
      <c r="E64" s="1043"/>
      <c r="F64" s="1043"/>
      <c r="G64" s="1046"/>
      <c r="H64" s="1049"/>
      <c r="I64" s="796"/>
      <c r="J64" s="796"/>
      <c r="K64" s="796"/>
      <c r="L64" s="796"/>
      <c r="M64" s="1062"/>
      <c r="N64" s="921">
        <v>0</v>
      </c>
      <c r="O64" s="928"/>
      <c r="P64" s="921">
        <v>0</v>
      </c>
      <c r="Q64" s="785"/>
      <c r="R64" s="783"/>
    </row>
    <row r="65" spans="1:18" ht="15">
      <c r="A65" s="797" t="s">
        <v>250</v>
      </c>
      <c r="B65" s="794">
        <f>'lokale energieproductie'!B5</f>
        <v>0</v>
      </c>
      <c r="C65" s="795">
        <f>'lokale energieproductie'!B5</f>
        <v>0</v>
      </c>
      <c r="D65" s="1067"/>
      <c r="E65" s="1044"/>
      <c r="F65" s="1044"/>
      <c r="G65" s="1047"/>
      <c r="H65" s="1050"/>
      <c r="I65" s="798"/>
      <c r="J65" s="798"/>
      <c r="K65" s="798"/>
      <c r="L65" s="798"/>
      <c r="M65" s="1063"/>
      <c r="N65" s="922">
        <v>0</v>
      </c>
      <c r="O65" s="928"/>
      <c r="P65" s="922">
        <v>0</v>
      </c>
      <c r="Q65" s="785"/>
      <c r="R65" s="748"/>
    </row>
    <row r="66" spans="1:18" ht="15">
      <c r="A66" s="797" t="s">
        <v>251</v>
      </c>
      <c r="B66" s="794">
        <f>'lokale energieproductie'!B6</f>
        <v>3629.7364579298728</v>
      </c>
      <c r="C66" s="795">
        <f>'lokale energieproductie'!B6</f>
        <v>3629.7364579298728</v>
      </c>
      <c r="D66" s="1068"/>
      <c r="E66" s="1045"/>
      <c r="F66" s="1045"/>
      <c r="G66" s="1048"/>
      <c r="H66" s="1051"/>
      <c r="I66" s="799"/>
      <c r="J66" s="799"/>
      <c r="K66" s="799"/>
      <c r="L66" s="799"/>
      <c r="M66" s="1064"/>
      <c r="N66" s="922">
        <v>0</v>
      </c>
      <c r="O66" s="928"/>
      <c r="P66" s="922">
        <v>0</v>
      </c>
      <c r="Q66" s="785"/>
      <c r="R66" s="783"/>
    </row>
    <row r="67" spans="1:18" ht="15">
      <c r="A67" s="800" t="s">
        <v>252</v>
      </c>
      <c r="B67" s="794">
        <f>'lokale energieproductie'!B7</f>
        <v>7.2749999999999986</v>
      </c>
      <c r="C67" s="794">
        <f>B67*IFERROR(SUM(J67:L67)/SUM(D67:M67),0)</f>
        <v>7.2749999999999986</v>
      </c>
      <c r="D67" s="826">
        <f>'lokale energieproductie'!C7</f>
        <v>0</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8.5588235294117645</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0</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3637.0114579298729</v>
      </c>
      <c r="C69" s="803">
        <f>SUM(C64:C68)</f>
        <v>3637.0114579298729</v>
      </c>
      <c r="D69" s="804">
        <f t="shared" ref="D69:M69" si="8">SUM(D67:D68)</f>
        <v>0</v>
      </c>
      <c r="E69" s="804">
        <f t="shared" si="8"/>
        <v>0</v>
      </c>
      <c r="F69" s="804">
        <f t="shared" si="8"/>
        <v>0</v>
      </c>
      <c r="G69" s="804">
        <f t="shared" si="8"/>
        <v>0</v>
      </c>
      <c r="H69" s="804">
        <f t="shared" si="8"/>
        <v>0</v>
      </c>
      <c r="I69" s="804">
        <f t="shared" si="8"/>
        <v>0</v>
      </c>
      <c r="J69" s="804">
        <f t="shared" si="8"/>
        <v>0</v>
      </c>
      <c r="K69" s="804">
        <f t="shared" si="8"/>
        <v>8.5588235294117645</v>
      </c>
      <c r="L69" s="804">
        <f t="shared" si="8"/>
        <v>0</v>
      </c>
      <c r="M69" s="930">
        <f t="shared" si="8"/>
        <v>0</v>
      </c>
      <c r="N69" s="805">
        <v>0</v>
      </c>
      <c r="O69" s="805">
        <f>SUM(O67:O68)</f>
        <v>0</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20"/>
      <c r="B73" s="1020"/>
      <c r="C73" s="1020"/>
      <c r="D73" s="1020"/>
      <c r="E73" s="1020"/>
      <c r="F73" s="1020"/>
      <c r="G73" s="1020"/>
      <c r="H73" s="1020"/>
      <c r="I73" s="1020"/>
      <c r="J73" s="1020"/>
      <c r="K73" s="1020"/>
      <c r="L73" s="1020"/>
      <c r="M73" s="1020"/>
      <c r="N73" s="1020"/>
      <c r="O73" s="1020"/>
      <c r="P73" s="102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21" t="s">
        <v>253</v>
      </c>
      <c r="B75" s="1035" t="s">
        <v>355</v>
      </c>
      <c r="C75" s="1027"/>
      <c r="D75" s="1024" t="s">
        <v>356</v>
      </c>
      <c r="E75" s="1025"/>
      <c r="F75" s="1025"/>
      <c r="G75" s="1025"/>
      <c r="H75" s="1025"/>
      <c r="I75" s="1025"/>
      <c r="J75" s="1025"/>
      <c r="K75" s="1025"/>
      <c r="L75" s="1025"/>
      <c r="M75" s="1026"/>
      <c r="N75" s="1027" t="s">
        <v>642</v>
      </c>
      <c r="O75" s="1035" t="s">
        <v>641</v>
      </c>
      <c r="P75" s="1027"/>
      <c r="Q75" s="812"/>
      <c r="R75" s="742"/>
    </row>
    <row r="76" spans="1:18" ht="16.5" thickTop="1" thickBot="1">
      <c r="A76" s="1022"/>
      <c r="B76" s="1036"/>
      <c r="C76" s="1028"/>
      <c r="D76" s="1030" t="s">
        <v>197</v>
      </c>
      <c r="E76" s="1031"/>
      <c r="F76" s="1031"/>
      <c r="G76" s="1031"/>
      <c r="H76" s="1032"/>
      <c r="I76" s="1033" t="s">
        <v>245</v>
      </c>
      <c r="J76" s="1033" t="s">
        <v>246</v>
      </c>
      <c r="K76" s="1037" t="s">
        <v>234</v>
      </c>
      <c r="L76" s="1039" t="s">
        <v>257</v>
      </c>
      <c r="M76" s="1041" t="s">
        <v>127</v>
      </c>
      <c r="N76" s="1028"/>
      <c r="O76" s="926"/>
      <c r="P76" s="927"/>
      <c r="Q76" s="812"/>
      <c r="R76" s="742"/>
    </row>
    <row r="77" spans="1:18" ht="110.25" customHeight="1" thickTop="1" thickBot="1">
      <c r="A77" s="1023"/>
      <c r="B77" s="909" t="s">
        <v>555</v>
      </c>
      <c r="C77" s="909" t="s">
        <v>640</v>
      </c>
      <c r="D77" s="813" t="s">
        <v>199</v>
      </c>
      <c r="E77" s="789" t="s">
        <v>200</v>
      </c>
      <c r="F77" s="814" t="s">
        <v>201</v>
      </c>
      <c r="G77" s="789" t="s">
        <v>203</v>
      </c>
      <c r="H77" s="815" t="s">
        <v>204</v>
      </c>
      <c r="I77" s="1034"/>
      <c r="J77" s="1034"/>
      <c r="K77" s="1038"/>
      <c r="L77" s="1040"/>
      <c r="M77" s="1042"/>
      <c r="N77" s="1029"/>
      <c r="O77" s="857" t="s">
        <v>643</v>
      </c>
      <c r="P77" s="855" t="s">
        <v>644</v>
      </c>
      <c r="Q77" s="812"/>
      <c r="R77" s="742"/>
    </row>
    <row r="78" spans="1:18" ht="15.75" thickTop="1">
      <c r="A78" s="816" t="s">
        <v>252</v>
      </c>
      <c r="B78" s="817">
        <f>'lokale energieproductie'!B16</f>
        <v>10.392857142857141</v>
      </c>
      <c r="C78" s="817">
        <f>B78*IFERROR(SUM(I78:L78)/SUM(D78:M78),0)</f>
        <v>10.392857142857141</v>
      </c>
      <c r="D78" s="832">
        <f>'lokale energieproductie'!C16</f>
        <v>0</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12.22689075630252</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0</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10.392857142857141</v>
      </c>
      <c r="C81" s="803">
        <f>SUM(C78:C80)</f>
        <v>10.392857142857141</v>
      </c>
      <c r="D81" s="803">
        <f t="shared" ref="D81:P81" si="9">SUM(D78:D80)</f>
        <v>0</v>
      </c>
      <c r="E81" s="803">
        <f t="shared" si="9"/>
        <v>0</v>
      </c>
      <c r="F81" s="803">
        <f t="shared" si="9"/>
        <v>0</v>
      </c>
      <c r="G81" s="803">
        <f t="shared" si="9"/>
        <v>0</v>
      </c>
      <c r="H81" s="803">
        <f t="shared" si="9"/>
        <v>0</v>
      </c>
      <c r="I81" s="803">
        <f t="shared" si="9"/>
        <v>0</v>
      </c>
      <c r="J81" s="803">
        <f t="shared" si="9"/>
        <v>0</v>
      </c>
      <c r="K81" s="803">
        <f t="shared" si="9"/>
        <v>12.22689075630252</v>
      </c>
      <c r="L81" s="803">
        <f t="shared" si="9"/>
        <v>0</v>
      </c>
      <c r="M81" s="803">
        <f t="shared" si="9"/>
        <v>0</v>
      </c>
      <c r="N81" s="803">
        <v>0</v>
      </c>
      <c r="O81" s="803">
        <f>SUM(O78:O80)</f>
        <v>0</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5" sqref="D25"/>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099" t="s">
        <v>550</v>
      </c>
      <c r="B1" s="1100" t="s">
        <v>546</v>
      </c>
      <c r="C1" s="1100"/>
      <c r="D1" s="1100"/>
      <c r="E1" s="1100"/>
      <c r="F1" s="1100"/>
      <c r="G1" s="1100"/>
      <c r="H1" s="1100"/>
      <c r="I1" s="1100"/>
      <c r="J1" s="1100"/>
      <c r="K1" s="1100"/>
      <c r="L1" s="1100"/>
      <c r="M1" s="1100"/>
      <c r="N1" s="1100"/>
      <c r="O1" s="1100"/>
      <c r="P1" s="1101"/>
      <c r="Q1" s="475"/>
    </row>
    <row r="2" spans="1:17">
      <c r="A2" s="1099"/>
      <c r="B2" s="1102" t="s">
        <v>21</v>
      </c>
      <c r="C2" s="1104" t="s">
        <v>196</v>
      </c>
      <c r="D2" s="1106" t="s">
        <v>197</v>
      </c>
      <c r="E2" s="1107"/>
      <c r="F2" s="1107"/>
      <c r="G2" s="1107"/>
      <c r="H2" s="1107"/>
      <c r="I2" s="1107"/>
      <c r="J2" s="1107"/>
      <c r="K2" s="1103"/>
      <c r="L2" s="1106" t="s">
        <v>198</v>
      </c>
      <c r="M2" s="1107"/>
      <c r="N2" s="1107"/>
      <c r="O2" s="1107"/>
      <c r="P2" s="1103"/>
      <c r="Q2" s="475"/>
    </row>
    <row r="3" spans="1:17" ht="45">
      <c r="A3" s="1099"/>
      <c r="B3" s="1103"/>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5503.1558115193184</v>
      </c>
      <c r="C4" s="478">
        <f>huishoudens!C8</f>
        <v>0</v>
      </c>
      <c r="D4" s="478">
        <f>huishoudens!D8</f>
        <v>7884.6697317239014</v>
      </c>
      <c r="E4" s="478">
        <f>huishoudens!E8</f>
        <v>2517.4742969389954</v>
      </c>
      <c r="F4" s="478">
        <f>huishoudens!F8</f>
        <v>7212.4766583201572</v>
      </c>
      <c r="G4" s="478">
        <f>huishoudens!G8</f>
        <v>0</v>
      </c>
      <c r="H4" s="478">
        <f>huishoudens!H8</f>
        <v>0</v>
      </c>
      <c r="I4" s="478">
        <f>huishoudens!I8</f>
        <v>0</v>
      </c>
      <c r="J4" s="478">
        <f>huishoudens!J8</f>
        <v>2623.3683263851508</v>
      </c>
      <c r="K4" s="478">
        <f>huishoudens!K8</f>
        <v>0</v>
      </c>
      <c r="L4" s="478">
        <f>huishoudens!L8</f>
        <v>0</v>
      </c>
      <c r="M4" s="478">
        <f>huishoudens!M8</f>
        <v>0</v>
      </c>
      <c r="N4" s="478">
        <f>huishoudens!N8</f>
        <v>5362.1348367517412</v>
      </c>
      <c r="O4" s="478">
        <f>huishoudens!O8</f>
        <v>106.30666666666667</v>
      </c>
      <c r="P4" s="479">
        <f>huishoudens!P8</f>
        <v>247.86666666666667</v>
      </c>
      <c r="Q4" s="480">
        <f>SUM(B4:P4)</f>
        <v>31457.452994972598</v>
      </c>
    </row>
    <row r="5" spans="1:17">
      <c r="A5" s="477" t="s">
        <v>156</v>
      </c>
      <c r="B5" s="478">
        <f ca="1">tertiair!B16</f>
        <v>3351.6874348784559</v>
      </c>
      <c r="C5" s="478">
        <f ca="1">tertiair!C16</f>
        <v>0</v>
      </c>
      <c r="D5" s="478">
        <f ca="1">tertiair!D16</f>
        <v>3879.1894397698184</v>
      </c>
      <c r="E5" s="478">
        <f>tertiair!E16</f>
        <v>51.299506101093066</v>
      </c>
      <c r="F5" s="478">
        <f ca="1">tertiair!F16</f>
        <v>608.64753394274612</v>
      </c>
      <c r="G5" s="478">
        <f>tertiair!G16</f>
        <v>0</v>
      </c>
      <c r="H5" s="478">
        <f>tertiair!H16</f>
        <v>0</v>
      </c>
      <c r="I5" s="478">
        <f>tertiair!I16</f>
        <v>0</v>
      </c>
      <c r="J5" s="478">
        <f>tertiair!J16</f>
        <v>1.2937952875387224E-2</v>
      </c>
      <c r="K5" s="478">
        <f>tertiair!K16</f>
        <v>0</v>
      </c>
      <c r="L5" s="478">
        <f ca="1">tertiair!L16</f>
        <v>0</v>
      </c>
      <c r="M5" s="478">
        <f>tertiair!M16</f>
        <v>0</v>
      </c>
      <c r="N5" s="478">
        <f ca="1">tertiair!N16</f>
        <v>511.2661315347774</v>
      </c>
      <c r="O5" s="478">
        <f>tertiair!O16</f>
        <v>0</v>
      </c>
      <c r="P5" s="479">
        <f>tertiair!P16</f>
        <v>38.133333333333333</v>
      </c>
      <c r="Q5" s="477">
        <f t="shared" ref="Q5:Q13" ca="1" si="0">SUM(B5:P5)</f>
        <v>8440.2363175130995</v>
      </c>
    </row>
    <row r="6" spans="1:17">
      <c r="A6" s="477" t="s">
        <v>194</v>
      </c>
      <c r="B6" s="478">
        <f>'openbare verlichting'!B8</f>
        <v>197.684</v>
      </c>
      <c r="C6" s="478"/>
      <c r="D6" s="478"/>
      <c r="E6" s="478"/>
      <c r="F6" s="478"/>
      <c r="G6" s="478"/>
      <c r="H6" s="478"/>
      <c r="I6" s="478"/>
      <c r="J6" s="478"/>
      <c r="K6" s="478"/>
      <c r="L6" s="478"/>
      <c r="M6" s="478"/>
      <c r="N6" s="478"/>
      <c r="O6" s="478"/>
      <c r="P6" s="479"/>
      <c r="Q6" s="477">
        <f t="shared" si="0"/>
        <v>197.684</v>
      </c>
    </row>
    <row r="7" spans="1:17">
      <c r="A7" s="477" t="s">
        <v>112</v>
      </c>
      <c r="B7" s="478">
        <f>landbouw!B8</f>
        <v>5579.9248037979196</v>
      </c>
      <c r="C7" s="478">
        <f>landbouw!C8</f>
        <v>10.392857142857141</v>
      </c>
      <c r="D7" s="478">
        <f>landbouw!D8</f>
        <v>656.9695834254519</v>
      </c>
      <c r="E7" s="478">
        <f>landbouw!E8</f>
        <v>164.01103304110686</v>
      </c>
      <c r="F7" s="478">
        <f>landbouw!F8</f>
        <v>23245.665209311988</v>
      </c>
      <c r="G7" s="478">
        <f>landbouw!G8</f>
        <v>0</v>
      </c>
      <c r="H7" s="478">
        <f>landbouw!H8</f>
        <v>0</v>
      </c>
      <c r="I7" s="478">
        <f>landbouw!I8</f>
        <v>0</v>
      </c>
      <c r="J7" s="478">
        <f>landbouw!J8</f>
        <v>808.41127381347337</v>
      </c>
      <c r="K7" s="478">
        <f>landbouw!K8</f>
        <v>0</v>
      </c>
      <c r="L7" s="478">
        <f>landbouw!L8</f>
        <v>0</v>
      </c>
      <c r="M7" s="478">
        <f>landbouw!M8</f>
        <v>0</v>
      </c>
      <c r="N7" s="478">
        <f>landbouw!N8</f>
        <v>0</v>
      </c>
      <c r="O7" s="478">
        <f>landbouw!O8</f>
        <v>0</v>
      </c>
      <c r="P7" s="479">
        <f>landbouw!P8</f>
        <v>0</v>
      </c>
      <c r="Q7" s="477">
        <f t="shared" si="0"/>
        <v>30465.374760532795</v>
      </c>
    </row>
    <row r="8" spans="1:17">
      <c r="A8" s="477" t="s">
        <v>635</v>
      </c>
      <c r="B8" s="478">
        <f>industrie!B18</f>
        <v>5462.2304302708808</v>
      </c>
      <c r="C8" s="478">
        <f>industrie!C18</f>
        <v>0</v>
      </c>
      <c r="D8" s="478">
        <f>industrie!D18</f>
        <v>340.19255949837407</v>
      </c>
      <c r="E8" s="478">
        <f>industrie!E18</f>
        <v>428.57487859032096</v>
      </c>
      <c r="F8" s="478">
        <f>industrie!F18</f>
        <v>1416.2502917565052</v>
      </c>
      <c r="G8" s="478">
        <f>industrie!G18</f>
        <v>0</v>
      </c>
      <c r="H8" s="478">
        <f>industrie!H18</f>
        <v>0</v>
      </c>
      <c r="I8" s="478">
        <f>industrie!I18</f>
        <v>0</v>
      </c>
      <c r="J8" s="478">
        <f>industrie!J18</f>
        <v>14.376799420468299</v>
      </c>
      <c r="K8" s="478">
        <f>industrie!K18</f>
        <v>0</v>
      </c>
      <c r="L8" s="478">
        <f>industrie!L18</f>
        <v>0</v>
      </c>
      <c r="M8" s="478">
        <f>industrie!M18</f>
        <v>0</v>
      </c>
      <c r="N8" s="478">
        <f>industrie!N18</f>
        <v>1137.5709848650536</v>
      </c>
      <c r="O8" s="478">
        <f>industrie!O18</f>
        <v>0</v>
      </c>
      <c r="P8" s="479">
        <f>industrie!P18</f>
        <v>0</v>
      </c>
      <c r="Q8" s="477">
        <f t="shared" si="0"/>
        <v>8799.1959444016029</v>
      </c>
    </row>
    <row r="9" spans="1:17" s="483" customFormat="1">
      <c r="A9" s="481" t="s">
        <v>561</v>
      </c>
      <c r="B9" s="482">
        <f>transport!B14</f>
        <v>6.4859648957556741</v>
      </c>
      <c r="C9" s="482">
        <f>transport!C14</f>
        <v>0</v>
      </c>
      <c r="D9" s="482">
        <f>transport!D14</f>
        <v>28.750398219214031</v>
      </c>
      <c r="E9" s="482">
        <f>transport!E14</f>
        <v>37.132718763883183</v>
      </c>
      <c r="F9" s="482">
        <f>transport!F14</f>
        <v>0</v>
      </c>
      <c r="G9" s="482">
        <f>transport!G14</f>
        <v>12258.430750205762</v>
      </c>
      <c r="H9" s="482">
        <f>transport!H14</f>
        <v>3202.2109719092482</v>
      </c>
      <c r="I9" s="482">
        <f>transport!I14</f>
        <v>0</v>
      </c>
      <c r="J9" s="482">
        <f>transport!J14</f>
        <v>0</v>
      </c>
      <c r="K9" s="482">
        <f>transport!K14</f>
        <v>0</v>
      </c>
      <c r="L9" s="482">
        <f>transport!L14</f>
        <v>0</v>
      </c>
      <c r="M9" s="482">
        <f>transport!M14</f>
        <v>811.24138016725908</v>
      </c>
      <c r="N9" s="482">
        <f>transport!N14</f>
        <v>0</v>
      </c>
      <c r="O9" s="482">
        <f>transport!O14</f>
        <v>0</v>
      </c>
      <c r="P9" s="482">
        <f>transport!P14</f>
        <v>0</v>
      </c>
      <c r="Q9" s="481">
        <f>SUM(B9:P9)</f>
        <v>16344.252184161121</v>
      </c>
    </row>
    <row r="10" spans="1:17">
      <c r="A10" s="477" t="s">
        <v>551</v>
      </c>
      <c r="B10" s="478">
        <f>transport!B54</f>
        <v>0</v>
      </c>
      <c r="C10" s="478">
        <f>transport!C54</f>
        <v>0</v>
      </c>
      <c r="D10" s="478">
        <f>transport!D54</f>
        <v>0</v>
      </c>
      <c r="E10" s="478">
        <f>transport!E54</f>
        <v>0</v>
      </c>
      <c r="F10" s="478">
        <f>transport!F54</f>
        <v>0</v>
      </c>
      <c r="G10" s="478">
        <f>transport!G54</f>
        <v>212.7872338536589</v>
      </c>
      <c r="H10" s="478">
        <f>transport!H54</f>
        <v>0</v>
      </c>
      <c r="I10" s="478">
        <f>transport!I54</f>
        <v>0</v>
      </c>
      <c r="J10" s="478">
        <f>transport!J54</f>
        <v>0</v>
      </c>
      <c r="K10" s="478">
        <f>transport!K54</f>
        <v>0</v>
      </c>
      <c r="L10" s="478">
        <f>transport!L54</f>
        <v>0</v>
      </c>
      <c r="M10" s="478">
        <f>transport!M54</f>
        <v>12.08537551739032</v>
      </c>
      <c r="N10" s="478">
        <f>transport!N54</f>
        <v>0</v>
      </c>
      <c r="O10" s="478">
        <f>transport!O54</f>
        <v>0</v>
      </c>
      <c r="P10" s="479">
        <f>transport!P54</f>
        <v>0</v>
      </c>
      <c r="Q10" s="477">
        <f t="shared" si="0"/>
        <v>224.87260937104924</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f>'Eigen vloot'!C27</f>
        <v>0</v>
      </c>
      <c r="D13" s="485">
        <f>'Eigen vloot'!D27</f>
        <v>0</v>
      </c>
      <c r="E13" s="485">
        <f>'Eigen vloot'!E27</f>
        <v>0</v>
      </c>
      <c r="F13" s="485">
        <f>'Eigen vloot'!F27</f>
        <v>0</v>
      </c>
      <c r="G13" s="485">
        <f>'Eigen vloot'!G27</f>
        <v>0</v>
      </c>
      <c r="H13" s="485">
        <f>'Eigen vloot'!H27</f>
        <v>0</v>
      </c>
      <c r="I13" s="485">
        <f>'Eigen vloot'!I27</f>
        <v>0</v>
      </c>
      <c r="J13" s="485">
        <f>'Eigen vloot'!J27</f>
        <v>0</v>
      </c>
      <c r="K13" s="485">
        <f>'Eigen vloot'!K27</f>
        <v>0</v>
      </c>
      <c r="L13" s="485">
        <f>'Eigen vloot'!L27</f>
        <v>0</v>
      </c>
      <c r="M13" s="485">
        <f>'Eigen vloot'!M27</f>
        <v>0</v>
      </c>
      <c r="N13" s="485">
        <f>'Eigen vloot'!N27</f>
        <v>0</v>
      </c>
      <c r="O13" s="485">
        <f>'Eigen vloot'!O27</f>
        <v>0</v>
      </c>
      <c r="P13" s="486">
        <f>'Eigen vloot'!P27</f>
        <v>0</v>
      </c>
      <c r="Q13" s="484">
        <f t="shared" si="0"/>
        <v>0</v>
      </c>
    </row>
    <row r="14" spans="1:17" s="490" customFormat="1">
      <c r="A14" s="487" t="s">
        <v>555</v>
      </c>
      <c r="B14" s="488">
        <f ca="1">SUM(B4:B13)</f>
        <v>20101.168445362331</v>
      </c>
      <c r="C14" s="488">
        <f t="shared" ref="C14:Q14" ca="1" si="1">SUM(C4:C13)</f>
        <v>10.392857142857141</v>
      </c>
      <c r="D14" s="488">
        <f t="shared" ca="1" si="1"/>
        <v>12789.771712636761</v>
      </c>
      <c r="E14" s="488">
        <f t="shared" si="1"/>
        <v>3198.4924334353991</v>
      </c>
      <c r="F14" s="488">
        <f t="shared" ca="1" si="1"/>
        <v>32483.039693331397</v>
      </c>
      <c r="G14" s="488">
        <f t="shared" si="1"/>
        <v>12471.21798405942</v>
      </c>
      <c r="H14" s="488">
        <f t="shared" si="1"/>
        <v>3202.2109719092482</v>
      </c>
      <c r="I14" s="488">
        <f t="shared" si="1"/>
        <v>0</v>
      </c>
      <c r="J14" s="488">
        <f t="shared" si="1"/>
        <v>3446.1693375719678</v>
      </c>
      <c r="K14" s="488">
        <f t="shared" si="1"/>
        <v>0</v>
      </c>
      <c r="L14" s="488">
        <f t="shared" ca="1" si="1"/>
        <v>0</v>
      </c>
      <c r="M14" s="488">
        <f t="shared" si="1"/>
        <v>823.32675568464936</v>
      </c>
      <c r="N14" s="488">
        <f t="shared" ca="1" si="1"/>
        <v>7010.971953151573</v>
      </c>
      <c r="O14" s="488">
        <f t="shared" si="1"/>
        <v>106.30666666666667</v>
      </c>
      <c r="P14" s="489">
        <f t="shared" si="1"/>
        <v>286</v>
      </c>
      <c r="Q14" s="489">
        <f t="shared" ca="1" si="1"/>
        <v>95929.068810952274</v>
      </c>
    </row>
    <row r="16" spans="1:17">
      <c r="A16" s="491" t="s">
        <v>556</v>
      </c>
      <c r="B16" s="841">
        <f ca="1">huishoudens!B10</f>
        <v>0.18101329303879612</v>
      </c>
      <c r="C16" s="841">
        <f ca="1">huishoudens!C10</f>
        <v>0</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099" t="s">
        <v>558</v>
      </c>
      <c r="B18" s="1100" t="s">
        <v>557</v>
      </c>
      <c r="C18" s="1100"/>
      <c r="D18" s="1100"/>
      <c r="E18" s="1100"/>
      <c r="F18" s="1100"/>
      <c r="G18" s="1100"/>
      <c r="H18" s="1100"/>
      <c r="I18" s="1100"/>
      <c r="J18" s="1100"/>
      <c r="K18" s="1100"/>
      <c r="L18" s="1100"/>
      <c r="M18" s="1100"/>
      <c r="N18" s="1100"/>
      <c r="O18" s="1100"/>
      <c r="P18" s="1101"/>
      <c r="Q18" s="475"/>
    </row>
    <row r="19" spans="1:17" ht="15" customHeight="1">
      <c r="A19" s="1099"/>
      <c r="B19" s="1102" t="s">
        <v>21</v>
      </c>
      <c r="C19" s="1104" t="s">
        <v>196</v>
      </c>
      <c r="D19" s="1106" t="s">
        <v>197</v>
      </c>
      <c r="E19" s="1107"/>
      <c r="F19" s="1107"/>
      <c r="G19" s="1107"/>
      <c r="H19" s="1107"/>
      <c r="I19" s="1107"/>
      <c r="J19" s="1107"/>
      <c r="K19" s="1103"/>
      <c r="L19" s="1106" t="s">
        <v>198</v>
      </c>
      <c r="M19" s="1107"/>
      <c r="N19" s="1107"/>
      <c r="O19" s="1107"/>
      <c r="P19" s="1103"/>
      <c r="Q19" s="475"/>
    </row>
    <row r="20" spans="1:17" ht="45">
      <c r="A20" s="1099"/>
      <c r="B20" s="1103"/>
      <c r="C20" s="110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996.14435554870022</v>
      </c>
      <c r="C21" s="478">
        <f t="shared" ref="C21:C30" ca="1" si="3">C4*$C$16</f>
        <v>0</v>
      </c>
      <c r="D21" s="478">
        <f t="shared" ref="D21:D30" si="4">D4*$D$16</f>
        <v>1592.7032858082282</v>
      </c>
      <c r="E21" s="478">
        <f t="shared" ref="E21:E30" si="5">E4*$E$16</f>
        <v>571.46666540515196</v>
      </c>
      <c r="F21" s="478">
        <f t="shared" ref="F21:F30" si="6">F4*$F$16</f>
        <v>1925.7312677714822</v>
      </c>
      <c r="G21" s="478">
        <f t="shared" ref="G21:G30" si="7">G4*$G$16</f>
        <v>0</v>
      </c>
      <c r="H21" s="478">
        <f t="shared" ref="H21:H30" si="8">H4*$H$16</f>
        <v>0</v>
      </c>
      <c r="I21" s="478">
        <f t="shared" ref="I21:I30" si="9">I4*$I$16</f>
        <v>0</v>
      </c>
      <c r="J21" s="478">
        <f t="shared" ref="J21:J30" si="10">J4*$J$16</f>
        <v>928.67238754034338</v>
      </c>
      <c r="K21" s="478">
        <f t="shared" ref="K21:K30" si="11">K4*$K$16</f>
        <v>0</v>
      </c>
      <c r="L21" s="478">
        <f t="shared" ref="L21:L30" si="12">L4*$L$16</f>
        <v>0</v>
      </c>
      <c r="M21" s="478">
        <f t="shared" ref="M21:M30" si="13">M4*$M$16</f>
        <v>0</v>
      </c>
      <c r="N21" s="478">
        <f t="shared" ref="N21:N30" si="14">N4*$N$16</f>
        <v>0</v>
      </c>
      <c r="O21" s="478">
        <f t="shared" ref="O21:O30" si="15">O4*$O$16</f>
        <v>0</v>
      </c>
      <c r="P21" s="492">
        <f t="shared" ref="P21:P30" si="16">P4*$P$16</f>
        <v>0</v>
      </c>
      <c r="Q21" s="480">
        <f ca="1">SUM(B21:P21)</f>
        <v>6014.7179620739053</v>
      </c>
    </row>
    <row r="22" spans="1:17">
      <c r="A22" s="477" t="s">
        <v>156</v>
      </c>
      <c r="B22" s="478">
        <f t="shared" ca="1" si="2"/>
        <v>606.69997982410484</v>
      </c>
      <c r="C22" s="478">
        <f t="shared" ca="1" si="3"/>
        <v>0</v>
      </c>
      <c r="D22" s="478">
        <f t="shared" ca="1" si="4"/>
        <v>783.59626683350336</v>
      </c>
      <c r="E22" s="478">
        <f t="shared" si="5"/>
        <v>11.644987884948126</v>
      </c>
      <c r="F22" s="478">
        <f t="shared" ca="1" si="6"/>
        <v>162.50889156271322</v>
      </c>
      <c r="G22" s="478">
        <f t="shared" si="7"/>
        <v>0</v>
      </c>
      <c r="H22" s="478">
        <f t="shared" si="8"/>
        <v>0</v>
      </c>
      <c r="I22" s="478">
        <f t="shared" si="9"/>
        <v>0</v>
      </c>
      <c r="J22" s="478">
        <f t="shared" si="10"/>
        <v>4.5800353178870766E-3</v>
      </c>
      <c r="K22" s="478">
        <f t="shared" si="11"/>
        <v>0</v>
      </c>
      <c r="L22" s="478">
        <f t="shared" ca="1" si="12"/>
        <v>0</v>
      </c>
      <c r="M22" s="478">
        <f t="shared" si="13"/>
        <v>0</v>
      </c>
      <c r="N22" s="478">
        <f t="shared" ca="1" si="14"/>
        <v>0</v>
      </c>
      <c r="O22" s="478">
        <f t="shared" si="15"/>
        <v>0</v>
      </c>
      <c r="P22" s="479">
        <f t="shared" si="16"/>
        <v>0</v>
      </c>
      <c r="Q22" s="477">
        <f t="shared" ref="Q22:Q30" ca="1" si="17">SUM(B22:P22)</f>
        <v>1564.4547061405874</v>
      </c>
    </row>
    <row r="23" spans="1:17">
      <c r="A23" s="477" t="s">
        <v>194</v>
      </c>
      <c r="B23" s="478">
        <f t="shared" ca="1" si="2"/>
        <v>35.783431821081372</v>
      </c>
      <c r="C23" s="478">
        <f t="shared" ca="1" si="3"/>
        <v>0</v>
      </c>
      <c r="D23" s="478">
        <f t="shared" si="4"/>
        <v>0</v>
      </c>
      <c r="E23" s="478">
        <f t="shared" si="5"/>
        <v>0</v>
      </c>
      <c r="F23" s="478">
        <f t="shared" si="6"/>
        <v>0</v>
      </c>
      <c r="G23" s="478">
        <f t="shared" si="7"/>
        <v>0</v>
      </c>
      <c r="H23" s="478">
        <f t="shared" si="8"/>
        <v>0</v>
      </c>
      <c r="I23" s="478">
        <f t="shared" si="9"/>
        <v>0</v>
      </c>
      <c r="J23" s="478">
        <f t="shared" si="10"/>
        <v>0</v>
      </c>
      <c r="K23" s="478">
        <f t="shared" si="11"/>
        <v>0</v>
      </c>
      <c r="L23" s="478">
        <f t="shared" si="12"/>
        <v>0</v>
      </c>
      <c r="M23" s="478">
        <f t="shared" si="13"/>
        <v>0</v>
      </c>
      <c r="N23" s="478">
        <f t="shared" si="14"/>
        <v>0</v>
      </c>
      <c r="O23" s="478">
        <f t="shared" si="15"/>
        <v>0</v>
      </c>
      <c r="P23" s="479">
        <f t="shared" si="16"/>
        <v>0</v>
      </c>
      <c r="Q23" s="477">
        <f t="shared" ca="1" si="17"/>
        <v>35.783431821081372</v>
      </c>
    </row>
    <row r="24" spans="1:17">
      <c r="A24" s="477" t="s">
        <v>112</v>
      </c>
      <c r="B24" s="478">
        <f t="shared" ca="1" si="2"/>
        <v>1010.0405636443198</v>
      </c>
      <c r="C24" s="478">
        <f t="shared" ca="1" si="3"/>
        <v>0</v>
      </c>
      <c r="D24" s="478">
        <f t="shared" si="4"/>
        <v>132.7078558519413</v>
      </c>
      <c r="E24" s="478">
        <f t="shared" si="5"/>
        <v>37.230504500331257</v>
      </c>
      <c r="F24" s="478">
        <f t="shared" si="6"/>
        <v>6206.5926108863014</v>
      </c>
      <c r="G24" s="478">
        <f t="shared" si="7"/>
        <v>0</v>
      </c>
      <c r="H24" s="478">
        <f t="shared" si="8"/>
        <v>0</v>
      </c>
      <c r="I24" s="478">
        <f t="shared" si="9"/>
        <v>0</v>
      </c>
      <c r="J24" s="478">
        <f t="shared" si="10"/>
        <v>286.17759092996954</v>
      </c>
      <c r="K24" s="478">
        <f t="shared" si="11"/>
        <v>0</v>
      </c>
      <c r="L24" s="478">
        <f t="shared" si="12"/>
        <v>0</v>
      </c>
      <c r="M24" s="478">
        <f t="shared" si="13"/>
        <v>0</v>
      </c>
      <c r="N24" s="478">
        <f t="shared" si="14"/>
        <v>0</v>
      </c>
      <c r="O24" s="478">
        <f t="shared" si="15"/>
        <v>0</v>
      </c>
      <c r="P24" s="479">
        <f t="shared" si="16"/>
        <v>0</v>
      </c>
      <c r="Q24" s="477">
        <f t="shared" ca="1" si="17"/>
        <v>7672.7491258128639</v>
      </c>
    </row>
    <row r="25" spans="1:17">
      <c r="A25" s="477" t="s">
        <v>635</v>
      </c>
      <c r="B25" s="478">
        <f t="shared" ca="1" si="2"/>
        <v>988.73631752005235</v>
      </c>
      <c r="C25" s="478">
        <f t="shared" ca="1" si="3"/>
        <v>0</v>
      </c>
      <c r="D25" s="478">
        <f t="shared" si="4"/>
        <v>68.718897018671569</v>
      </c>
      <c r="E25" s="478">
        <f t="shared" si="5"/>
        <v>97.286497440002861</v>
      </c>
      <c r="F25" s="478">
        <f t="shared" si="6"/>
        <v>378.1388278989869</v>
      </c>
      <c r="G25" s="478">
        <f t="shared" si="7"/>
        <v>0</v>
      </c>
      <c r="H25" s="478">
        <f t="shared" si="8"/>
        <v>0</v>
      </c>
      <c r="I25" s="478">
        <f t="shared" si="9"/>
        <v>0</v>
      </c>
      <c r="J25" s="478">
        <f t="shared" si="10"/>
        <v>5.0893869948457775</v>
      </c>
      <c r="K25" s="478">
        <f t="shared" si="11"/>
        <v>0</v>
      </c>
      <c r="L25" s="478">
        <f t="shared" si="12"/>
        <v>0</v>
      </c>
      <c r="M25" s="478">
        <f t="shared" si="13"/>
        <v>0</v>
      </c>
      <c r="N25" s="478">
        <f t="shared" si="14"/>
        <v>0</v>
      </c>
      <c r="O25" s="478">
        <f t="shared" si="15"/>
        <v>0</v>
      </c>
      <c r="P25" s="479">
        <f t="shared" si="16"/>
        <v>0</v>
      </c>
      <c r="Q25" s="477">
        <f t="shared" ca="1" si="17"/>
        <v>1537.9699268725597</v>
      </c>
    </row>
    <row r="26" spans="1:17" s="483" customFormat="1">
      <c r="A26" s="481" t="s">
        <v>561</v>
      </c>
      <c r="B26" s="835">
        <f t="shared" ca="1" si="2"/>
        <v>1.1740458643147667</v>
      </c>
      <c r="C26" s="482">
        <f t="shared" ca="1" si="3"/>
        <v>0</v>
      </c>
      <c r="D26" s="482">
        <f t="shared" si="4"/>
        <v>5.8075804402812343</v>
      </c>
      <c r="E26" s="482">
        <f t="shared" si="5"/>
        <v>8.4291271594014834</v>
      </c>
      <c r="F26" s="482">
        <f t="shared" si="6"/>
        <v>0</v>
      </c>
      <c r="G26" s="482">
        <f t="shared" si="7"/>
        <v>3273.0010103049385</v>
      </c>
      <c r="H26" s="482">
        <f t="shared" si="8"/>
        <v>797.35053200540278</v>
      </c>
      <c r="I26" s="482">
        <f t="shared" si="9"/>
        <v>0</v>
      </c>
      <c r="J26" s="482">
        <f t="shared" si="10"/>
        <v>0</v>
      </c>
      <c r="K26" s="482">
        <f t="shared" si="11"/>
        <v>0</v>
      </c>
      <c r="L26" s="482">
        <f t="shared" si="12"/>
        <v>0</v>
      </c>
      <c r="M26" s="482">
        <f t="shared" si="13"/>
        <v>0</v>
      </c>
      <c r="N26" s="482">
        <f t="shared" si="14"/>
        <v>0</v>
      </c>
      <c r="O26" s="482">
        <f t="shared" si="15"/>
        <v>0</v>
      </c>
      <c r="P26" s="493">
        <f t="shared" si="16"/>
        <v>0</v>
      </c>
      <c r="Q26" s="481">
        <f t="shared" ca="1" si="17"/>
        <v>4085.7622957743388</v>
      </c>
    </row>
    <row r="27" spans="1:17">
      <c r="A27" s="477" t="s">
        <v>551</v>
      </c>
      <c r="B27" s="478">
        <f t="shared" ca="1" si="2"/>
        <v>0</v>
      </c>
      <c r="C27" s="478">
        <f t="shared" ca="1" si="3"/>
        <v>0</v>
      </c>
      <c r="D27" s="478">
        <f t="shared" si="4"/>
        <v>0</v>
      </c>
      <c r="E27" s="478">
        <f t="shared" si="5"/>
        <v>0</v>
      </c>
      <c r="F27" s="478">
        <f t="shared" si="6"/>
        <v>0</v>
      </c>
      <c r="G27" s="478">
        <f t="shared" si="7"/>
        <v>56.814191438926933</v>
      </c>
      <c r="H27" s="478">
        <f t="shared" si="8"/>
        <v>0</v>
      </c>
      <c r="I27" s="478">
        <f t="shared" si="9"/>
        <v>0</v>
      </c>
      <c r="J27" s="478">
        <f t="shared" si="10"/>
        <v>0</v>
      </c>
      <c r="K27" s="478">
        <f t="shared" si="11"/>
        <v>0</v>
      </c>
      <c r="L27" s="478">
        <f t="shared" si="12"/>
        <v>0</v>
      </c>
      <c r="M27" s="478">
        <f t="shared" si="13"/>
        <v>0</v>
      </c>
      <c r="N27" s="478">
        <f t="shared" si="14"/>
        <v>0</v>
      </c>
      <c r="O27" s="478">
        <f t="shared" si="15"/>
        <v>0</v>
      </c>
      <c r="P27" s="479">
        <f t="shared" si="16"/>
        <v>0</v>
      </c>
      <c r="Q27" s="477">
        <f t="shared" ca="1" si="17"/>
        <v>56.814191438926933</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84" t="s">
        <v>554</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s="490" customFormat="1">
      <c r="A31" s="487" t="s">
        <v>555</v>
      </c>
      <c r="B31" s="488">
        <f t="shared" ref="B31:Q31" ca="1" si="18">SUM(B21:B30)</f>
        <v>3638.5786942225736</v>
      </c>
      <c r="C31" s="488">
        <f t="shared" ca="1" si="18"/>
        <v>0</v>
      </c>
      <c r="D31" s="488">
        <f t="shared" ca="1" si="18"/>
        <v>2583.533885952626</v>
      </c>
      <c r="E31" s="488">
        <f t="shared" si="18"/>
        <v>726.05778238983567</v>
      </c>
      <c r="F31" s="488">
        <f t="shared" ca="1" si="18"/>
        <v>8672.971598119484</v>
      </c>
      <c r="G31" s="488">
        <f t="shared" si="18"/>
        <v>3329.8152017438656</v>
      </c>
      <c r="H31" s="488">
        <f t="shared" si="18"/>
        <v>797.35053200540278</v>
      </c>
      <c r="I31" s="488">
        <f t="shared" si="18"/>
        <v>0</v>
      </c>
      <c r="J31" s="488">
        <f t="shared" si="18"/>
        <v>1219.9439455004767</v>
      </c>
      <c r="K31" s="488">
        <f t="shared" si="18"/>
        <v>0</v>
      </c>
      <c r="L31" s="488">
        <f t="shared" ca="1" si="18"/>
        <v>0</v>
      </c>
      <c r="M31" s="488">
        <f t="shared" si="18"/>
        <v>0</v>
      </c>
      <c r="N31" s="488">
        <f t="shared" ca="1" si="18"/>
        <v>0</v>
      </c>
      <c r="O31" s="488">
        <f t="shared" si="18"/>
        <v>0</v>
      </c>
      <c r="P31" s="489">
        <f t="shared" si="18"/>
        <v>0</v>
      </c>
      <c r="Q31" s="489">
        <f t="shared" ca="1" si="18"/>
        <v>20968.251639934264</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0.18101329303879612</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0</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14"/>
      <c r="P13" s="1114"/>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0.18101329303879612</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099" t="s">
        <v>328</v>
      </c>
      <c r="B1" s="1108" t="s">
        <v>195</v>
      </c>
      <c r="C1" s="1109"/>
      <c r="D1" s="1109"/>
      <c r="E1" s="1109"/>
      <c r="F1" s="1109"/>
      <c r="G1" s="1109"/>
      <c r="H1" s="1109"/>
      <c r="I1" s="1109"/>
      <c r="J1" s="1109"/>
      <c r="K1" s="1109"/>
      <c r="L1" s="1109"/>
      <c r="M1" s="1109"/>
      <c r="N1" s="1109"/>
      <c r="O1" s="1109"/>
      <c r="P1" s="1109"/>
    </row>
    <row r="2" spans="1:16" ht="15" customHeight="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0.18101329303879612</v>
      </c>
      <c r="C29" s="529">
        <f ca="1">'EF ele_warmte'!B22</f>
        <v>0</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15"/>
      <c r="K10" s="58"/>
    </row>
    <row r="11" spans="1:11" s="43" customFormat="1">
      <c r="A11" s="44" t="s">
        <v>565</v>
      </c>
      <c r="B11" s="47"/>
      <c r="D11" s="142" t="s">
        <v>392</v>
      </c>
      <c r="I11" s="1115"/>
      <c r="K11" s="58"/>
    </row>
    <row r="12" spans="1:11" s="43" customFormat="1">
      <c r="A12" s="44" t="s">
        <v>566</v>
      </c>
      <c r="B12" s="47"/>
      <c r="D12" s="142" t="s">
        <v>392</v>
      </c>
      <c r="I12" s="1115"/>
      <c r="K12" s="58"/>
    </row>
    <row r="13" spans="1:11" s="43" customFormat="1">
      <c r="A13" s="44"/>
      <c r="B13" s="478"/>
      <c r="D13" s="96"/>
      <c r="I13" s="1115"/>
    </row>
    <row r="14" spans="1:11" s="43" customFormat="1">
      <c r="A14" s="304" t="s">
        <v>563</v>
      </c>
      <c r="B14" s="531"/>
      <c r="C14" s="141" t="s">
        <v>182</v>
      </c>
      <c r="D14" s="144" t="s">
        <v>391</v>
      </c>
      <c r="I14" s="1115"/>
    </row>
    <row r="15" spans="1:11" s="43" customFormat="1">
      <c r="A15" s="44" t="s">
        <v>71</v>
      </c>
      <c r="B15" s="47"/>
      <c r="D15" s="142" t="s">
        <v>392</v>
      </c>
      <c r="I15" s="1115"/>
      <c r="J15" s="1115"/>
    </row>
    <row r="16" spans="1:11" s="43" customFormat="1">
      <c r="A16" s="44" t="s">
        <v>527</v>
      </c>
      <c r="B16" s="47"/>
      <c r="D16" s="142" t="s">
        <v>392</v>
      </c>
      <c r="I16" s="1115"/>
      <c r="J16" s="1115"/>
    </row>
    <row r="17" spans="1:11" s="43" customFormat="1">
      <c r="A17" s="44" t="s">
        <v>78</v>
      </c>
      <c r="B17" s="47"/>
      <c r="D17" s="142" t="s">
        <v>392</v>
      </c>
      <c r="I17" s="1115"/>
      <c r="J17" s="1115"/>
    </row>
    <row r="18" spans="1:11" s="43" customFormat="1">
      <c r="A18" s="44" t="s">
        <v>528</v>
      </c>
      <c r="B18" s="47"/>
      <c r="D18" s="142" t="s">
        <v>392</v>
      </c>
      <c r="I18" s="1115"/>
      <c r="J18" s="1115"/>
      <c r="K18" s="58"/>
    </row>
    <row r="19" spans="1:11" s="43" customFormat="1">
      <c r="A19" s="44" t="s">
        <v>77</v>
      </c>
      <c r="B19" s="47"/>
      <c r="D19" s="142" t="s">
        <v>392</v>
      </c>
      <c r="I19" s="1115"/>
      <c r="J19" s="1116"/>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15"/>
      <c r="J35" s="1115"/>
    </row>
    <row r="36" spans="1:11" s="43" customFormat="1">
      <c r="A36" s="466" t="s">
        <v>527</v>
      </c>
      <c r="B36" s="47"/>
      <c r="D36" s="142" t="s">
        <v>392</v>
      </c>
      <c r="I36" s="1115"/>
      <c r="J36" s="1115"/>
    </row>
    <row r="37" spans="1:11" s="43" customFormat="1">
      <c r="A37" s="466" t="s">
        <v>78</v>
      </c>
      <c r="B37" s="47"/>
      <c r="D37" s="142" t="s">
        <v>392</v>
      </c>
      <c r="I37" s="1115"/>
      <c r="J37" s="1115"/>
    </row>
    <row r="38" spans="1:11" s="43" customFormat="1">
      <c r="A38" s="466" t="s">
        <v>528</v>
      </c>
      <c r="B38" s="47"/>
      <c r="D38" s="142" t="s">
        <v>392</v>
      </c>
      <c r="I38" s="1115"/>
      <c r="J38" s="1115"/>
      <c r="K38" s="58"/>
    </row>
    <row r="39" spans="1:11" s="43" customFormat="1">
      <c r="A39" s="466" t="s">
        <v>77</v>
      </c>
      <c r="B39" s="47"/>
      <c r="D39" s="142" t="s">
        <v>392</v>
      </c>
      <c r="I39" s="1115"/>
      <c r="J39" s="1116"/>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217</vt:i4>
      </vt:variant>
    </vt:vector>
  </HeadingPairs>
  <TitlesOfParts>
    <vt:vector size="250" baseType="lpstr">
      <vt:lpstr>LEGENDE</vt:lpstr>
      <vt:lpstr>OUTPUT--&gt;</vt:lpstr>
      <vt:lpstr>SEAP template</vt:lpstr>
      <vt:lpstr>Inventaris 2016</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2018-09-06T12:47:35Z</dcterms:modified>
</cp:coreProperties>
</file>