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G14" i="22" l="1"/>
  <c r="G9" i="48" s="1"/>
  <c r="P31"/>
  <c r="N7"/>
  <c r="N24" s="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<sst xmlns="http://schemas.openxmlformats.org/spreadsheetml/2006/main" count="1914" uniqueCount="809">
  <si>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</si>
  <si>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</si>
  <si>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</si>
  <si>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</si>
  <si>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</si>
  <si>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</si>
  <si>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</si>
  <si>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</si>
  <si>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</si>
  <si>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</si>
  <si>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</si>
  <si>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</si>
  <si>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</si>
  <si>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</si>
  <si>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</si>
  <si>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</si>
  <si>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</si>
  <si>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</si>
  <si>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</si>
  <si>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</si>
  <si>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</si>
  <si>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</si>
  <si>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</si>
  <si>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</si>
  <si>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</si>
  <si>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</si>
  <si>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</si>
  <si>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</si>
  <si>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</si>
  <si>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</si>
  <si>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</si>
  <si>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</si>
  <si>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</si>
  <si>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</si>
  <si>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</si>
  <si>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</si>
  <si>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</si>
  <si>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</si>
  <si>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</si>
  <si>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</si>
  <si>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</si>
  <si>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</si>
  <si>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</si>
  <si>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</si>
  <si>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</si>
  <si>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</si>
  <si>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</si>
  <si>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</si>
  <si>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</si>
  <si>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</si>
  <si>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</si>
  <si>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</si>
  <si>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</si>
  <si>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</si>
  <si>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</si>
  <si>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</si>
  <si>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</si>
  <si>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</si>
  <si>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</si>
  <si>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</si>
  <si>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</si>
  <si>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</si>
  <si>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</si>
  <si>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</si>
  <si>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</si>
  <si>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</si>
  <si>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</si>
  <si>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</si>
  <si>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</si>
  <si>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</si>
  <si>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</si>
  <si>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</si>
  <si>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</si>
  <si>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</si>
  <si>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</si>
  <si>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</si>
  <si>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</si>
  <si>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</si>
  <si>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</si>
  <si>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</si>
  <si>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</si>
  <si>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</si>
  <si>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</si>
  <si>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</si>
  <si>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</si>
  <si>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</si>
  <si>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</si>
  <si>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</si>
  <si>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</si>
  <si>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</si>
  <si>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</si>
  <si>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</si>
  <si>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</si>
  <si>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</si>
  <si>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</si>
  <si>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</si>
  <si>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</si>
  <si>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</si>
  <si>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</si>
  <si>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</si>
  <si>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</si>
  <si>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</si>
  <si>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</si>
  <si>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</si>
  <si>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</si>
  <si>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</si>
  <si>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</si>
  <si>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</si>
  <si>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</si>
  <si>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</si>
  <si>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</si>
  <si>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</si>
  <si>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</si>
  <si>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</si>
  <si>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</si>
  <si>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</si>
  <si>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</si>
  <si>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</si>
  <si>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</si>
  <si>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</si>
  <si>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</si>
  <si>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</si>
  <si>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</si>
  <si>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</si>
  <si>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</si>
  <si>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</si>
  <si>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</si>
  <si>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</si>
  <si>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</si>
  <si>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</si>
  <si>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</si>
  <si>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</si>
  <si>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</si>
  <si>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</si>
  <si>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</si>
  <si>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</si>
  <si>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</si>
  <si>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</si>
  <si>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</si>
  <si>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</si>
  <si>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</si>
  <si>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</si>
  <si>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</si>
  <si>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</si>
  <si>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</si>
  <si>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</si>
  <si>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</si>
  <si>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</si>
  <si>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</si>
  <si>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</si>
  <si>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</si>
  <si>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</si>
  <si>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</si>
  <si>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</si>
  <si>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</si>
  <si>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</si>
  <si>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</si>
  <si>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</si>
  <si>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</si>
  <si>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</si>
  <si>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</si>
  <si>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</si>
  <si>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</si>
  <si>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</si>
  <si>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</si>
  <si>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</si>
  <si>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</si>
  <si>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</si>
  <si>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</si>
  <si>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</si>
  <si>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</si>
  <si>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</si>
  <si>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</si>
  <si>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</si>
  <si>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</si>
  <si>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</si>
  <si>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</si>
  <si>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</si>
  <si>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</si>
  <si>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</si>
  <si>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</si>
  <si>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</si>
  <si>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</si>
  <si>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</si>
  <si>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</si>
  <si>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</si>
  <si>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</si>
  <si>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</si>
  <si>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</si>
  <si>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</si>
  <si>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</si>
  <si>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</si>
  <si>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</si>
  <si>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</si>
  <si>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</si>
  <si>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</si>
  <si>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</si>
  <si>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</si>
  <si>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</si>
  <si>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</si>
  <si>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</si>
  <si>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</si>
  <si>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</si>
  <si>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</si>
  <si>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</si>
  <si>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</si>
  <si>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</si>
  <si>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</si>
  <si>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</si>
  <si>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</si>
  <si>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</si>
  <si>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</si>
  <si>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</si>
  <si>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</si>
  <si>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</si>
  <si>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</si>
  <si>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</si>
  <si>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</si>
  <si>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</si>
  <si>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</si>
  <si>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</si>
  <si>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</si>
  <si>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</si>
  <si>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</si>
  <si>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</si>
  <si>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</si>
  <si>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</si>
  <si>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</si>
  <si>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</si>
  <si>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</si>
  <si>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</si>
  <si>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</si>
  <si>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</si>
  <si>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</si>
  <si>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</si>
  <si>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</si>
  <si>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</si>
  <si>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</si>
  <si>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</si>
  <si>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</si>
  <si>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</si>
  <si>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</si>
  <si>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</si>
  <si>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</si>
  <si>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</si>
  <si>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</si>
  <si>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</si>
  <si>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</si>
  <si>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</si>
  <si>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</si>
  <si>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</si>
  <si>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</si>
  <si>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</si>
  <si>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</si>
  <si>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</si>
  <si>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</si>
  <si>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</si>
  <si>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</si>
  <si>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</si>
  <si>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</si>
  <si>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</si>
  <si>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</si>
  <si>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</si>
  <si>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</si>
  <si>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</si>
  <si>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</si>
  <si>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</si>
  <si>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</si>
  <si>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</si>
  <si>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</si>
  <si>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</si>
  <si>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</si>
  <si>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</si>
  <si>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</si>
  <si>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</si>
  <si>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</si>
  <si>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</si>
  <si>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</si>
  <si>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</si>
  <si>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</si>
  <si>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</si>
  <si>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</si>
  <si>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</si>
  <si>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</si>
  <si>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</si>
  <si>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</si>
  <si>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</si>
  <si>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</si>
  <si>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</si>
  <si>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</si>
  <si>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</si>
  <si>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</si>
  <si>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</si>
  <si>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</si>
  <si>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</si>
  <si>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</si>
  <si>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</si>
  <si>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</si>
  <si>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</si>
  <si>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</si>
  <si>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</si>
  <si>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</si>
  <si>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</si>
  <si>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</si>
  <si>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</si>
  <si>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</si>
  <si>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</si>
  <si>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</si>
  <si>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</si>
  <si>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</si>
  <si>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</si>
  <si>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</si>
  <si>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</si>
  <si>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</si>
  <si>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</si>
  <si>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</si>
  <si>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</si>
  <si>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</si>
  <si>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</si>
  <si>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</si>
  <si>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</si>
  <si>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</si>
  <si>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</si>
  <si>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</si>
  <si>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</si>
  <si>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</si>
  <si>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</si>
  <si>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</si>
  <si>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</si>
  <si>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</si>
  <si>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</si>
  <si>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</si>
  <si>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</si>
  <si>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</si>
  <si>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</si>
  <si>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</si>
  <si>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</si>
  <si>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</si>
  <si>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</si>
  <si>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</si>
  <si>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</si>
  <si>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</si>
  <si>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</si>
  <si>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</si>
  <si>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</si>
  <si>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</si>
  <si>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</si>
  <si>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</si>
  <si>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</si>
  <si>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</si>
  <si>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</si>
  <si>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</si>
  <si>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</si>
  <si>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</si>
  <si>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</si>
  <si>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</si>
  <si>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</si>
  <si>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</si>
  <si>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</si>
  <si>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</si>
  <si>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</si>
  <si>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</si>
  <si>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</si>
  <si>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</si>
  <si>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</si>
  <si>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</si>
  <si>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</si>
  <si>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</si>
  <si>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</si>
  <si>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</si>
  <si>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</si>
  <si>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</si>
  <si>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</si>
  <si>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</si>
  <si>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</si>
  <si>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</si>
  <si>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</si>
  <si>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</si>
  <si>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</si>
  <si>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</si>
  <si>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</si>
  <si>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</si>
  <si>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</si>
  <si>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</si>
  <si>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</si>
  <si>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</si>
  <si>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</si>
  <si>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</si>
  <si>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</si>
  <si>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</si>
  <si>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</si>
  <si>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</si>
  <si>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</si>
  <si>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</si>
  <si>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</si>
  <si>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</si>
  <si>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</si>
  <si>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</si>
  <si>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</si>
  <si>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</si>
  <si>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</si>
  <si>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</si>
  <si>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</si>
  <si>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</si>
  <si>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</si>
  <si>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</si>
  <si>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</si>
  <si>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</si>
  <si>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</si>
  <si>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</si>
  <si>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</si>
  <si>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</si>
  <si>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</si>
  <si>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</si>
  <si>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</si>
  <si>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</si>
  <si>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</si>
  <si>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</si>
  <si>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</si>
  <si>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</si>
  <si>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</si>
  <si>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</si>
  <si>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</si>
  <si>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</si>
  <si>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</si>
  <si>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</si>
  <si>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</si>
  <si>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</si>
  <si>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</si>
  <si>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</si>
  <si>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</si>
  <si>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</si>
  <si>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</si>
  <si>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</si>
  <si>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</si>
  <si>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</si>
  <si>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</si>
  <si>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</si>
  <si>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</si>
  <si>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</si>
  <si>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</si>
  <si>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</si>
  <si>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</si>
  <si>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</si>
  <si>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</si>
  <si>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</si>
  <si>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</si>
  <si>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</si>
  <si>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</si>
  <si>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</si>
  <si>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</si>
  <si>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</si>
  <si>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</si>
  <si>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</si>
  <si>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</si>
  <si>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</si>
  <si>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</si>
  <si>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</si>
  <si>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</si>
  <si>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</si>
  <si>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</si>
  <si>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</si>
  <si>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</si>
  <si>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</si>
  <si>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</si>
  <si>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</si>
  <si>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</si>
  <si>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</si>
  <si>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</si>
  <si>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</si>
  <si>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</si>
  <si>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</si>
  <si>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</si>
  <si>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</si>
  <si>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</si>
  <si>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</si>
  <si>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</si>
  <si>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</si>
  <si>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</si>
  <si>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</si>
  <si>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</si>
  <si>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</si>
  <si>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</si>
  <si>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</si>
  <si>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</si>
  <si>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</si>
  <si>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</si>
  <si>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</si>
  <si>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</si>
  <si>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</si>
  <si>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</si>
  <si>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</si>
  <si>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</si>
  <si>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</si>
  <si>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</si>
  <si>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</si>
  <si>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</si>
  <si>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</si>
  <si>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</si>
  <si>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</si>
  <si>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</si>
  <si>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</si>
  <si>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</si>
  <si>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</si>
  <si>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</si>
  <si>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</si>
  <si>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</si>
  <si>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</si>
  <si>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</si>
  <si>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</si>
  <si>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</si>
  <si>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</si>
  <si>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</si>
  <si>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</si>
  <si>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</si>
  <si>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</si>
  <si>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</si>
  <si>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</si>
  <si>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</si>
  <si>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</si>
  <si>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</si>
  <si>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</si>
  <si>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</si>
  <si>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</si>
  <si>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</si>
  <si>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</si>
  <si>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</si>
  <si>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</si>
  <si>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</si>
  <si>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</si>
  <si>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</si>
  <si>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</si>
  <si>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</si>
  <si>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</si>
  <si>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</si>
  <si>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</si>
  <si>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</si>
  <si>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</si>
  <si>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</si>
  <si>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</si>
  <si>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</si>
  <si>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</si>
  <si>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</si>
  <si>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</si>
  <si>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</si>
  <si>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</si>
  <si>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</si>
  <si>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</si>
  <si>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</si>
  <si>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</si>
  <si>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</si>
  <si>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</si>
  <si>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</si>
  <si>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</si>
  <si>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</si>
  <si>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</si>
  <si>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</si>
  <si>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</si>
  <si>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</si>
  <si>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</si>
  <si>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</si>
  <si>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</si>
  <si>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</si>
  <si>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</si>
  <si>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</si>
  <si>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</si>
  <si>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</si>
  <si>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</si>
  <si>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</si>
  <si>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</si>
  <si>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</si>
  <si>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</si>
  <si>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</si>
  <si>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</si>
  <si>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</si>
  <si>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</si>
  <si>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</si>
  <si>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</si>
  <si>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</si>
  <si>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</si>
  <si>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</si>
  <si>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</si>
  <si>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</si>
  <si>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</si>
  <si>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</si>
  <si>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</si>
  <si>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</si>
  <si>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</si>
  <si>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</si>
  <si>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</si>
  <si>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</si>
  <si>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</si>
  <si>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</si>
  <si>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</si>
  <si>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</si>
  <si>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</si>
  <si>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</si>
  <si>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</si>
  <si>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</si>
  <si>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</si>
  <si>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</si>
  <si>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</si>
  <si>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</si>
  <si>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</si>
  <si>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</si>
  <si>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</si>
  <si>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</si>
  <si>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</si>
  <si>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</si>
  <si>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</si>
  <si>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</si>
  <si>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</si>
  <si>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</si>
  <si>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</si>
  <si>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</si>
  <si>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</si>
  <si>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</si>
  <si>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</si>
  <si>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</si>
  <si>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</si>
  <si>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</si>
  <si>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</si>
  <si>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</si>
  <si>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</si>
  <si>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</si>
  <si>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</si>
  <si>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</si>
  <si>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</si>
  <si>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</si>
  <si>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</si>
  <si>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</si>
  <si>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</si>
  <si>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</si>
  <si>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</si>
  <si>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</si>
  <si>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</si>
  <si>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</si>
  <si>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</si>
  <si>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</si>
  <si>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</si>
  <si>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</si>
  <si>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</si>
  <si>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</si>
  <si>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</si>
  <si>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</si>
  <si>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</si>
  <si>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</si>
  <si>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</si>
  <si>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</si>
  <si>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</si>
  <si>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</si>
  <si>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</si>
  <si>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</si>
  <si>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</si>
  <si>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</si>
  <si>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</si>
  <si>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</si>
  <si>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</si>
  <si>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</si>
  <si>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</si>
  <si>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</si>
  <si>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</si>
  <si>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</si>
  <si>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</si>
  <si>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</si>
  <si>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</si>
  <si>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</si>
  <si>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</si>
  <si>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</si>
  <si>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</si>
  <si>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</si>
  <si>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</si>
  <si>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</si>
  <si>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</si>
  <si>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</si>
  <si>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</si>
  <si>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</si>
  <si>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</si>
  <si>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</si>
  <si>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</si>
  <si>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</si>
  <si>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</si>
  <si>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</si>
  <si>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</si>
  <si>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</si>
  <si>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</si>
  <si>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</si>
  <si>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</si>
  <si>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</si>
  <si>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</si>
  <si>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</si>
  <si>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</si>
  <si>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</si>
  <si>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</si>
  <si>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</si>
  <si>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</si>
  <si>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</si>
  <si>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</si>
  <si>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</si>
  <si>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</si>
  <si>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</si>
  <si>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</si>
  <si>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</si>
  <si>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</si>
  <si>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</si>
  <si>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</si>
  <si>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</si>
  <si>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</si>
  <si>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</si>
  <si>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</si>
  <si>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</si>
  <si>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</si>
  <si>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</si>
  <si>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</si>
  <si>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</si>
  <si>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</si>
  <si>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</si>
  <si>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</si>
  <si>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</si>
  <si>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</si>
  <si>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</si>
  <si>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</si>
  <si>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</si>
  <si>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</si>
  <si>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</si>
  <si>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</si>
  <si>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</si>
  <si>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</si>
  <si>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</si>
  <si>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</si>
  <si>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</si>
  <si>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</si>
  <si>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</si>
  <si>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</si>
  <si>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</si>
  <si>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</si>
  <si>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</si>
  <si>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</si>
  <si>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</si>
  <si>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</si>
  <si>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</si>
  <si>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</si>
  <si>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</si>
  <si>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</si>
  <si>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</si>
  <si>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</si>
  <si>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</si>
  <si>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</si>
  <si>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</si>
  <si>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</si>
  <si>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</si>
  <si>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</si>
  <si>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</si>
  <si>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</si>
  <si>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</si>
  <si>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</si>
  <si>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</si>
  <si>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</si>
  <si>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</si>
  <si>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</si>
  <si>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</si>
  <si>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</si>
  <si>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</si>
  <si>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</si>
  <si>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</si>
  <si>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</si>
  <si>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</si>
  <si>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</si>
  <si>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</si>
  <si>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</si>
  <si>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</si>
  <si>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</si>
  <si>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</si>
  <si>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</si>
  <si>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</si>
  <si>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</si>
  <si>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</si>
  <si>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</si>
  <si>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</si>
  <si>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</si>
  <si>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</si>
  <si>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</si>
  <si>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</si>
  <si>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</si>
  <si>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</si>
  <si>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</si>
  <si>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</si>
  <si>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</si>
  <si>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</si>
  <si>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</si>
  <si>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</si>
  <si>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</si>
  <si>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</si>
  <si>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</si>
  <si>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</si>
  <si>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</si>
  <si>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</si>
  <si>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</si>
  <si>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</si>
  <si>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</si>
  <si>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</si>
  <si>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32011</t>
  </si>
  <si>
    <t>KORTEMARK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</si>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</sst>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113652.23802032146</c:v>
                </c:pt>
                <c:pt idx="1">
                  <c:v>34950.241959868144</c:v>
                </c:pt>
                <c:pt idx="2">
                  <c:v>713.53200000000004</c:v>
                </c:pt>
                <c:pt idx="3">
                  <c:v>26756.941145673904</c:v>
                </c:pt>
                <c:pt idx="4">
                  <c:v>213831.99171469067</c:v>
                </c:pt>
                <c:pt idx="5">
                  <c:v>73973.887146994326</c:v>
                </c:pt>
                <c:pt idx="6">
                  <c:v>558.61004998130772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113652.23802032146</c:v>
                </c:pt>
                <c:pt idx="1">
                  <c:v>34950.241959868144</c:v>
                </c:pt>
                <c:pt idx="2">
                  <c:v>713.53200000000004</c:v>
                </c:pt>
                <c:pt idx="3">
                  <c:v>26756.941145673904</c:v>
                </c:pt>
                <c:pt idx="4">
                  <c:v>213831.99171469067</c:v>
                </c:pt>
                <c:pt idx="5">
                  <c:v>73973.887146994326</c:v>
                </c:pt>
                <c:pt idx="6">
                  <c:v>558.61004998130772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20788.987860701618</c:v>
                </c:pt>
                <c:pt idx="1">
                  <c:v>6770.43281168659</c:v>
                </c:pt>
                <c:pt idx="2">
                  <c:v>145.96584153825776</c:v>
                </c:pt>
                <c:pt idx="3">
                  <c:v>6793.8833630832414</c:v>
                </c:pt>
                <c:pt idx="4">
                  <c:v>42589.846719613335</c:v>
                </c:pt>
                <c:pt idx="5">
                  <c:v>18508.192589269918</c:v>
                </c:pt>
                <c:pt idx="6">
                  <c:v>141.13314381912656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20788.987860701618</c:v>
                </c:pt>
                <c:pt idx="1">
                  <c:v>6770.43281168659</c:v>
                </c:pt>
                <c:pt idx="2">
                  <c:v>145.96584153825776</c:v>
                </c:pt>
                <c:pt idx="3">
                  <c:v>6793.8833630832414</c:v>
                </c:pt>
                <c:pt idx="4">
                  <c:v>42589.846719613335</c:v>
                </c:pt>
                <c:pt idx="5">
                  <c:v>18508.192589269918</c:v>
                </c:pt>
                <c:pt idx="6">
                  <c:v>141.13314381912656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32011</v>
      </c>
      <c r="B6" s="415"/>
      <c r="C6" s="416"/>
    </row>
    <row r="7" spans="1:7" s="413" customFormat="1" ht="15.75" customHeight="1">
      <c r="A7" s="417" t="str">
        <f>txtMunicipality</f>
        <v>KORTEMARK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14680.368076567094</v>
      </c>
      <c r="D10" s="718">
        <f ca="1">tertiair!C16</f>
        <v>0</v>
      </c>
      <c r="E10" s="718">
        <f ca="1">tertiair!D16</f>
        <v>15454.281255804584</v>
      </c>
      <c r="F10" s="718">
        <f>tertiair!E16</f>
        <v>286.09273008840404</v>
      </c>
      <c r="G10" s="718">
        <f ca="1">tertiair!F16</f>
        <v>2721.1036595564751</v>
      </c>
      <c r="H10" s="718">
        <f>tertiair!G16</f>
        <v>0</v>
      </c>
      <c r="I10" s="718">
        <f>tertiair!H16</f>
        <v>0</v>
      </c>
      <c r="J10" s="718">
        <f>tertiair!I16</f>
        <v>0</v>
      </c>
      <c r="K10" s="718">
        <f>tertiair!J16</f>
        <v>6.2183831195542265E-2</v>
      </c>
      <c r="L10" s="718">
        <f>tertiair!K16</f>
        <v>0</v>
      </c>
      <c r="M10" s="718">
        <f ca="1">tertiair!L16</f>
        <v>0</v>
      </c>
      <c r="N10" s="718">
        <f>tertiair!M16</f>
        <v>0</v>
      </c>
      <c r="O10" s="718">
        <f ca="1">tertiair!N16</f>
        <v>2456.8493873537273</v>
      </c>
      <c r="P10" s="718">
        <f>tertiair!O16</f>
        <v>7.8166666666666664</v>
      </c>
      <c r="Q10" s="719">
        <f>tertiair!P16</f>
        <v>57.2</v>
      </c>
      <c r="R10" s="721">
        <f ca="1">SUM(C10:Q10)</f>
        <v>35663.773959868144</v>
      </c>
      <c r="S10" s="67"/>
    </row>
    <row r="11" spans="1:19" s="474" customFormat="1">
      <c r="A11" s="870" t="s">
        <v>225</v>
      </c>
      <c r="B11" s="875"/>
      <c r="C11" s="718">
        <f>huishoudens!B8</f>
        <v>21188.074264649495</v>
      </c>
      <c r="D11" s="718">
        <f>huishoudens!C8</f>
        <v>0</v>
      </c>
      <c r="E11" s="718">
        <f>huishoudens!D8</f>
        <v>42569.936454346236</v>
      </c>
      <c r="F11" s="718">
        <f>huishoudens!E8</f>
        <v>7006.9952209209623</v>
      </c>
      <c r="G11" s="718">
        <f>huishoudens!F8</f>
        <v>20948.801550296739</v>
      </c>
      <c r="H11" s="718">
        <f>huishoudens!G8</f>
        <v>0</v>
      </c>
      <c r="I11" s="718">
        <f>huishoudens!H8</f>
        <v>0</v>
      </c>
      <c r="J11" s="718">
        <f>huishoudens!I8</f>
        <v>0</v>
      </c>
      <c r="K11" s="718">
        <f>huishoudens!J8</f>
        <v>1897.0055908537779</v>
      </c>
      <c r="L11" s="718">
        <f>huishoudens!K8</f>
        <v>0</v>
      </c>
      <c r="M11" s="718">
        <f>huishoudens!L8</f>
        <v>0</v>
      </c>
      <c r="N11" s="718">
        <f>huishoudens!M8</f>
        <v>0</v>
      </c>
      <c r="O11" s="718">
        <f>huishoudens!N8</f>
        <v>19046.711605920922</v>
      </c>
      <c r="P11" s="718">
        <f>huishoudens!O8</f>
        <v>384.58000000000004</v>
      </c>
      <c r="Q11" s="719">
        <f>huishoudens!P8</f>
        <v>610.13333333333333</v>
      </c>
      <c r="R11" s="721">
        <f>SUM(C11:Q11)</f>
        <v>113652.23802032146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34482.645299999996</v>
      </c>
      <c r="D13" s="718">
        <f>industrie!C18</f>
        <v>0</v>
      </c>
      <c r="E13" s="718">
        <f>industrie!D18</f>
        <v>165977.60636324788</v>
      </c>
      <c r="F13" s="718">
        <f>industrie!E18</f>
        <v>1085.595341080716</v>
      </c>
      <c r="G13" s="718">
        <f>industrie!F18</f>
        <v>6580.1658056274691</v>
      </c>
      <c r="H13" s="718">
        <f>industrie!G18</f>
        <v>0</v>
      </c>
      <c r="I13" s="718">
        <f>industrie!H18</f>
        <v>0</v>
      </c>
      <c r="J13" s="718">
        <f>industrie!I18</f>
        <v>0</v>
      </c>
      <c r="K13" s="718">
        <f>industrie!J18</f>
        <v>14.092417094500515</v>
      </c>
      <c r="L13" s="718">
        <f>industrie!K18</f>
        <v>0</v>
      </c>
      <c r="M13" s="718">
        <f>industrie!L18</f>
        <v>0</v>
      </c>
      <c r="N13" s="718">
        <f>industrie!M18</f>
        <v>0</v>
      </c>
      <c r="O13" s="718">
        <f>industrie!N18</f>
        <v>5691.8864876400976</v>
      </c>
      <c r="P13" s="718">
        <f>industrie!O18</f>
        <v>0</v>
      </c>
      <c r="Q13" s="719">
        <f>industrie!P18</f>
        <v>0</v>
      </c>
      <c r="R13" s="721">
        <f>SUM(C13:Q13)</f>
        <v>213831.99171469067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70351.087641216582</v>
      </c>
      <c r="D15" s="723">
        <f t="shared" ref="D15:Q15" ca="1" si="0">SUM(D9:D14)</f>
        <v>0</v>
      </c>
      <c r="E15" s="723">
        <f t="shared" ca="1" si="0"/>
        <v>224001.82407339869</v>
      </c>
      <c r="F15" s="723">
        <f t="shared" si="0"/>
        <v>8378.6832920900815</v>
      </c>
      <c r="G15" s="723">
        <f t="shared" ca="1" si="0"/>
        <v>30250.071015480684</v>
      </c>
      <c r="H15" s="723">
        <f t="shared" si="0"/>
        <v>0</v>
      </c>
      <c r="I15" s="723">
        <f t="shared" si="0"/>
        <v>0</v>
      </c>
      <c r="J15" s="723">
        <f t="shared" si="0"/>
        <v>0</v>
      </c>
      <c r="K15" s="723">
        <f t="shared" si="0"/>
        <v>1911.160191779474</v>
      </c>
      <c r="L15" s="723">
        <f t="shared" si="0"/>
        <v>0</v>
      </c>
      <c r="M15" s="723">
        <f t="shared" ca="1" si="0"/>
        <v>0</v>
      </c>
      <c r="N15" s="723">
        <f t="shared" si="0"/>
        <v>0</v>
      </c>
      <c r="O15" s="723">
        <f t="shared" ca="1" si="0"/>
        <v>27195.447480914747</v>
      </c>
      <c r="P15" s="723">
        <f t="shared" si="0"/>
        <v>392.3966666666667</v>
      </c>
      <c r="Q15" s="724">
        <f t="shared" si="0"/>
        <v>667.33333333333337</v>
      </c>
      <c r="R15" s="725">
        <f ca="1">SUM(R9:R14)</f>
        <v>363148.00369488029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528.58855362968745</v>
      </c>
      <c r="I18" s="718">
        <f>transport!H54</f>
        <v>0</v>
      </c>
      <c r="J18" s="718">
        <f>transport!I54</f>
        <v>0</v>
      </c>
      <c r="K18" s="718">
        <f>transport!J54</f>
        <v>0</v>
      </c>
      <c r="L18" s="718">
        <f>transport!K54</f>
        <v>0</v>
      </c>
      <c r="M18" s="718">
        <f>transport!L54</f>
        <v>0</v>
      </c>
      <c r="N18" s="718">
        <f>transport!M54</f>
        <v>30.021496351620243</v>
      </c>
      <c r="O18" s="718">
        <f>transport!N54</f>
        <v>0</v>
      </c>
      <c r="P18" s="718">
        <f>transport!O54</f>
        <v>0</v>
      </c>
      <c r="Q18" s="719">
        <f>transport!P54</f>
        <v>0</v>
      </c>
      <c r="R18" s="721">
        <f>SUM(C18:Q18)</f>
        <v>558.61004998130772</v>
      </c>
      <c r="S18" s="67"/>
    </row>
    <row r="19" spans="1:19" s="474" customFormat="1" ht="15" thickBot="1">
      <c r="A19" s="870" t="s">
        <v>307</v>
      </c>
      <c r="B19" s="875"/>
      <c r="C19" s="727">
        <f>transport!B14</f>
        <v>27.751554102873694</v>
      </c>
      <c r="D19" s="727">
        <f>transport!C14</f>
        <v>0</v>
      </c>
      <c r="E19" s="727">
        <f>transport!D14</f>
        <v>117.91399146396606</v>
      </c>
      <c r="F19" s="727">
        <f>transport!E14</f>
        <v>153.08855576305521</v>
      </c>
      <c r="G19" s="727">
        <f>transport!F14</f>
        <v>0</v>
      </c>
      <c r="H19" s="727">
        <f>transport!G14</f>
        <v>56805.326616862672</v>
      </c>
      <c r="I19" s="727">
        <f>transport!H14</f>
        <v>13160.335635139458</v>
      </c>
      <c r="J19" s="727">
        <f>transport!I14</f>
        <v>0</v>
      </c>
      <c r="K19" s="727">
        <f>transport!J14</f>
        <v>0</v>
      </c>
      <c r="L19" s="727">
        <f>transport!K14</f>
        <v>0</v>
      </c>
      <c r="M19" s="727">
        <f>transport!L14</f>
        <v>0</v>
      </c>
      <c r="N19" s="727">
        <f>transport!M14</f>
        <v>3709.4707936622976</v>
      </c>
      <c r="O19" s="727">
        <f>transport!N14</f>
        <v>0</v>
      </c>
      <c r="P19" s="727">
        <f>transport!O14</f>
        <v>0</v>
      </c>
      <c r="Q19" s="728">
        <f>transport!P14</f>
        <v>0</v>
      </c>
      <c r="R19" s="729">
        <f>SUM(C19:Q19)</f>
        <v>73973.887146994326</v>
      </c>
      <c r="S19" s="67"/>
    </row>
    <row r="20" spans="1:19" s="474" customFormat="1" ht="15.75" thickBot="1">
      <c r="A20" s="730" t="s">
        <v>230</v>
      </c>
      <c r="B20" s="878"/>
      <c r="C20" s="873">
        <f>SUM(C17:C19)</f>
        <v>27.751554102873694</v>
      </c>
      <c r="D20" s="731">
        <f t="shared" ref="D20:R20" si="1">SUM(D17:D19)</f>
        <v>0</v>
      </c>
      <c r="E20" s="731">
        <f t="shared" si="1"/>
        <v>117.91399146396606</v>
      </c>
      <c r="F20" s="731">
        <f t="shared" si="1"/>
        <v>153.08855576305521</v>
      </c>
      <c r="G20" s="731">
        <f t="shared" si="1"/>
        <v>0</v>
      </c>
      <c r="H20" s="731">
        <f t="shared" si="1"/>
        <v>57333.915170492357</v>
      </c>
      <c r="I20" s="731">
        <f t="shared" si="1"/>
        <v>13160.335635139458</v>
      </c>
      <c r="J20" s="731">
        <f t="shared" si="1"/>
        <v>0</v>
      </c>
      <c r="K20" s="731">
        <f t="shared" si="1"/>
        <v>0</v>
      </c>
      <c r="L20" s="731">
        <f t="shared" si="1"/>
        <v>0</v>
      </c>
      <c r="M20" s="731">
        <f t="shared" si="1"/>
        <v>0</v>
      </c>
      <c r="N20" s="731">
        <f t="shared" si="1"/>
        <v>3739.4922900139177</v>
      </c>
      <c r="O20" s="731">
        <f t="shared" si="1"/>
        <v>0</v>
      </c>
      <c r="P20" s="731">
        <f t="shared" si="1"/>
        <v>0</v>
      </c>
      <c r="Q20" s="732">
        <f t="shared" si="1"/>
        <v>0</v>
      </c>
      <c r="R20" s="733">
        <f t="shared" si="1"/>
        <v>74532.49719697563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4690.7469724871344</v>
      </c>
      <c r="D22" s="727">
        <f>+landbouw!C8</f>
        <v>0</v>
      </c>
      <c r="E22" s="727">
        <f>+landbouw!D8</f>
        <v>1707.3318783821046</v>
      </c>
      <c r="F22" s="727">
        <f>+landbouw!E8</f>
        <v>137.87538071631715</v>
      </c>
      <c r="G22" s="727">
        <f>+landbouw!F8</f>
        <v>19541.3984127193</v>
      </c>
      <c r="H22" s="727">
        <f>+landbouw!G8</f>
        <v>0</v>
      </c>
      <c r="I22" s="727">
        <f>+landbouw!H8</f>
        <v>0</v>
      </c>
      <c r="J22" s="727">
        <f>+landbouw!I8</f>
        <v>0</v>
      </c>
      <c r="K22" s="727">
        <f>+landbouw!J8</f>
        <v>679.58850136905005</v>
      </c>
      <c r="L22" s="727">
        <f>+landbouw!K8</f>
        <v>0</v>
      </c>
      <c r="M22" s="727">
        <f>+landbouw!L8</f>
        <v>0</v>
      </c>
      <c r="N22" s="727">
        <f>+landbouw!M8</f>
        <v>0</v>
      </c>
      <c r="O22" s="727">
        <f>+landbouw!N8</f>
        <v>0</v>
      </c>
      <c r="P22" s="727">
        <f>+landbouw!O8</f>
        <v>0</v>
      </c>
      <c r="Q22" s="728">
        <f>+landbouw!P8</f>
        <v>0</v>
      </c>
      <c r="R22" s="729">
        <f>SUM(C22:Q22)</f>
        <v>26756.941145673904</v>
      </c>
      <c r="S22" s="67"/>
    </row>
    <row r="23" spans="1:19" s="474" customFormat="1" ht="17.25" thickTop="1" thickBot="1">
      <c r="A23" s="734" t="s">
        <v>116</v>
      </c>
      <c r="B23" s="864"/>
      <c r="C23" s="735">
        <f ca="1">C20+C15+C22</f>
        <v>75069.586167806585</v>
      </c>
      <c r="D23" s="735">
        <f t="shared" ref="D23:Q23" ca="1" si="2">D20+D15+D22</f>
        <v>0</v>
      </c>
      <c r="E23" s="735">
        <f t="shared" ca="1" si="2"/>
        <v>225827.06994324474</v>
      </c>
      <c r="F23" s="735">
        <f t="shared" si="2"/>
        <v>8669.6472285694545</v>
      </c>
      <c r="G23" s="735">
        <f t="shared" ca="1" si="2"/>
        <v>49791.469428199984</v>
      </c>
      <c r="H23" s="735">
        <f t="shared" si="2"/>
        <v>57333.915170492357</v>
      </c>
      <c r="I23" s="735">
        <f t="shared" si="2"/>
        <v>13160.335635139458</v>
      </c>
      <c r="J23" s="735">
        <f t="shared" si="2"/>
        <v>0</v>
      </c>
      <c r="K23" s="735">
        <f t="shared" si="2"/>
        <v>2590.7486931485241</v>
      </c>
      <c r="L23" s="735">
        <f t="shared" si="2"/>
        <v>0</v>
      </c>
      <c r="M23" s="735">
        <f t="shared" ca="1" si="2"/>
        <v>0</v>
      </c>
      <c r="N23" s="735">
        <f t="shared" si="2"/>
        <v>3739.4922900139177</v>
      </c>
      <c r="O23" s="735">
        <f t="shared" ca="1" si="2"/>
        <v>27195.447480914747</v>
      </c>
      <c r="P23" s="735">
        <f t="shared" si="2"/>
        <v>392.3966666666667</v>
      </c>
      <c r="Q23" s="736">
        <f t="shared" si="2"/>
        <v>667.33333333333337</v>
      </c>
      <c r="R23" s="737">
        <f ca="1">R20+R15+R22</f>
        <v>464437.44203752984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3003.1340996444314</v>
      </c>
      <c r="D36" s="718">
        <f ca="1">tertiair!C20</f>
        <v>0</v>
      </c>
      <c r="E36" s="718">
        <f ca="1">tertiair!D20</f>
        <v>3121.7648136725261</v>
      </c>
      <c r="F36" s="718">
        <f>tertiair!E20</f>
        <v>64.943049730067713</v>
      </c>
      <c r="G36" s="718">
        <f ca="1">tertiair!F20</f>
        <v>726.53467710157895</v>
      </c>
      <c r="H36" s="718">
        <f>tertiair!G20</f>
        <v>0</v>
      </c>
      <c r="I36" s="718">
        <f>tertiair!H20</f>
        <v>0</v>
      </c>
      <c r="J36" s="718">
        <f>tertiair!I20</f>
        <v>0</v>
      </c>
      <c r="K36" s="718">
        <f>tertiair!J20</f>
        <v>2.2013076243221959E-2</v>
      </c>
      <c r="L36" s="718">
        <f>tertiair!K20</f>
        <v>0</v>
      </c>
      <c r="M36" s="718">
        <f ca="1">tertiair!L20</f>
        <v>0</v>
      </c>
      <c r="N36" s="718">
        <f>tertiair!M20</f>
        <v>0</v>
      </c>
      <c r="O36" s="718">
        <f ca="1">tertiair!N20</f>
        <v>0</v>
      </c>
      <c r="P36" s="718">
        <f>tertiair!O20</f>
        <v>0</v>
      </c>
      <c r="Q36" s="828">
        <f>tertiair!P20</f>
        <v>0</v>
      </c>
      <c r="R36" s="917">
        <f ca="1">SUM(C36:Q36)</f>
        <v>6916.3986532248482</v>
      </c>
    </row>
    <row r="37" spans="1:18">
      <c r="A37" s="885" t="s">
        <v>225</v>
      </c>
      <c r="B37" s="892"/>
      <c r="C37" s="718">
        <f ca="1">huishoudens!B12</f>
        <v>4334.40278868315</v>
      </c>
      <c r="D37" s="718">
        <f ca="1">huishoudens!C12</f>
        <v>0</v>
      </c>
      <c r="E37" s="718">
        <f>huishoudens!D12</f>
        <v>8599.127163777941</v>
      </c>
      <c r="F37" s="718">
        <f>huishoudens!E12</f>
        <v>1590.5879151490585</v>
      </c>
      <c r="G37" s="718">
        <f>huishoudens!F12</f>
        <v>5593.3300139292296</v>
      </c>
      <c r="H37" s="718">
        <f>huishoudens!G12</f>
        <v>0</v>
      </c>
      <c r="I37" s="718">
        <f>huishoudens!H12</f>
        <v>0</v>
      </c>
      <c r="J37" s="718">
        <f>huishoudens!I12</f>
        <v>0</v>
      </c>
      <c r="K37" s="718">
        <f>huishoudens!J12</f>
        <v>671.53997916223739</v>
      </c>
      <c r="L37" s="718">
        <f>huishoudens!K12</f>
        <v>0</v>
      </c>
      <c r="M37" s="718">
        <f>huishoudens!L12</f>
        <v>0</v>
      </c>
      <c r="N37" s="718">
        <f>huishoudens!M12</f>
        <v>0</v>
      </c>
      <c r="O37" s="718">
        <f>huishoudens!N12</f>
        <v>0</v>
      </c>
      <c r="P37" s="718">
        <f>huishoudens!O12</f>
        <v>0</v>
      </c>
      <c r="Q37" s="828">
        <f>huishoudens!P12</f>
        <v>0</v>
      </c>
      <c r="R37" s="917">
        <f ca="1">SUM(C37:Q37)</f>
        <v>20788.987860701618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7054.0471060579594</v>
      </c>
      <c r="D39" s="718">
        <f ca="1">industrie!C22</f>
        <v>0</v>
      </c>
      <c r="E39" s="718">
        <f>industrie!D22</f>
        <v>33527.476485376072</v>
      </c>
      <c r="F39" s="718">
        <f>industrie!E22</f>
        <v>246.43014242532254</v>
      </c>
      <c r="G39" s="718">
        <f>industrie!F22</f>
        <v>1756.9042701025344</v>
      </c>
      <c r="H39" s="718">
        <f>industrie!G22</f>
        <v>0</v>
      </c>
      <c r="I39" s="718">
        <f>industrie!H22</f>
        <v>0</v>
      </c>
      <c r="J39" s="718">
        <f>industrie!I22</f>
        <v>0</v>
      </c>
      <c r="K39" s="718">
        <f>industrie!J22</f>
        <v>4.9887156514531821</v>
      </c>
      <c r="L39" s="718">
        <f>industrie!K22</f>
        <v>0</v>
      </c>
      <c r="M39" s="718">
        <f>industrie!L22</f>
        <v>0</v>
      </c>
      <c r="N39" s="718">
        <f>industrie!M22</f>
        <v>0</v>
      </c>
      <c r="O39" s="718">
        <f>industrie!N22</f>
        <v>0</v>
      </c>
      <c r="P39" s="718">
        <f>industrie!O22</f>
        <v>0</v>
      </c>
      <c r="Q39" s="828">
        <f>industrie!P22</f>
        <v>0</v>
      </c>
      <c r="R39" s="918">
        <f ca="1">SUM(C39:Q39)</f>
        <v>42589.846719613335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14391.583994385541</v>
      </c>
      <c r="D41" s="763">
        <f t="shared" ref="D41:R41" ca="1" si="4">SUM(D35:D40)</f>
        <v>0</v>
      </c>
      <c r="E41" s="763">
        <f t="shared" ca="1" si="4"/>
        <v>45248.36846282654</v>
      </c>
      <c r="F41" s="763">
        <f t="shared" si="4"/>
        <v>1901.9611073044489</v>
      </c>
      <c r="G41" s="763">
        <f t="shared" ca="1" si="4"/>
        <v>8076.7689611333435</v>
      </c>
      <c r="H41" s="763">
        <f t="shared" si="4"/>
        <v>0</v>
      </c>
      <c r="I41" s="763">
        <f t="shared" si="4"/>
        <v>0</v>
      </c>
      <c r="J41" s="763">
        <f t="shared" si="4"/>
        <v>0</v>
      </c>
      <c r="K41" s="763">
        <f t="shared" si="4"/>
        <v>676.55070788993373</v>
      </c>
      <c r="L41" s="763">
        <f t="shared" si="4"/>
        <v>0</v>
      </c>
      <c r="M41" s="763">
        <f t="shared" ca="1" si="4"/>
        <v>0</v>
      </c>
      <c r="N41" s="763">
        <f t="shared" si="4"/>
        <v>0</v>
      </c>
      <c r="O41" s="763">
        <f t="shared" ca="1" si="4"/>
        <v>0</v>
      </c>
      <c r="P41" s="763">
        <f t="shared" si="4"/>
        <v>0</v>
      </c>
      <c r="Q41" s="764">
        <f t="shared" si="4"/>
        <v>0</v>
      </c>
      <c r="R41" s="765">
        <f t="shared" ca="1" si="4"/>
        <v>70295.233233539795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141.13314381912656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141.13314381912656</v>
      </c>
    </row>
    <row r="45" spans="1:18" ht="15" thickBot="1">
      <c r="A45" s="888" t="s">
        <v>307</v>
      </c>
      <c r="B45" s="898"/>
      <c r="C45" s="727">
        <f ca="1">transport!B18</f>
        <v>5.6770809839228633</v>
      </c>
      <c r="D45" s="727">
        <f>transport!C18</f>
        <v>0</v>
      </c>
      <c r="E45" s="727">
        <f>transport!D18</f>
        <v>23.818626275721144</v>
      </c>
      <c r="F45" s="727">
        <f>transport!E18</f>
        <v>34.751102158213534</v>
      </c>
      <c r="G45" s="727">
        <f>transport!F18</f>
        <v>0</v>
      </c>
      <c r="H45" s="727">
        <f>transport!G18</f>
        <v>15167.022206702335</v>
      </c>
      <c r="I45" s="727">
        <f>transport!H18</f>
        <v>3276.9235731497251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18508.192589269918</v>
      </c>
    </row>
    <row r="46" spans="1:18" ht="15.75" thickBot="1">
      <c r="A46" s="886" t="s">
        <v>230</v>
      </c>
      <c r="B46" s="899"/>
      <c r="C46" s="763">
        <f t="shared" ref="C46:R46" ca="1" si="5">SUM(C43:C45)</f>
        <v>5.6770809839228633</v>
      </c>
      <c r="D46" s="763">
        <f t="shared" ca="1" si="5"/>
        <v>0</v>
      </c>
      <c r="E46" s="763">
        <f t="shared" si="5"/>
        <v>23.818626275721144</v>
      </c>
      <c r="F46" s="763">
        <f t="shared" si="5"/>
        <v>34.751102158213534</v>
      </c>
      <c r="G46" s="763">
        <f t="shared" si="5"/>
        <v>0</v>
      </c>
      <c r="H46" s="763">
        <f t="shared" si="5"/>
        <v>15308.155350521462</v>
      </c>
      <c r="I46" s="763">
        <f t="shared" si="5"/>
        <v>3276.9235731497251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18649.325733089045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959.57690654675525</v>
      </c>
      <c r="D48" s="718">
        <f ca="1">+landbouw!C12</f>
        <v>0</v>
      </c>
      <c r="E48" s="718">
        <f>+landbouw!D12</f>
        <v>344.88103943318515</v>
      </c>
      <c r="F48" s="718">
        <f>+landbouw!E12</f>
        <v>31.297711422603996</v>
      </c>
      <c r="G48" s="718">
        <f>+landbouw!F12</f>
        <v>5217.5533761960533</v>
      </c>
      <c r="H48" s="718">
        <f>+landbouw!G12</f>
        <v>0</v>
      </c>
      <c r="I48" s="718">
        <f>+landbouw!H12</f>
        <v>0</v>
      </c>
      <c r="J48" s="718">
        <f>+landbouw!I12</f>
        <v>0</v>
      </c>
      <c r="K48" s="718">
        <f>+landbouw!J12</f>
        <v>240.5743294846437</v>
      </c>
      <c r="L48" s="718">
        <f>+landbouw!K12</f>
        <v>0</v>
      </c>
      <c r="M48" s="718">
        <f>+landbouw!L12</f>
        <v>0</v>
      </c>
      <c r="N48" s="718">
        <f>+landbouw!M12</f>
        <v>0</v>
      </c>
      <c r="O48" s="718">
        <f>+landbouw!N12</f>
        <v>0</v>
      </c>
      <c r="P48" s="718">
        <f>+landbouw!O12</f>
        <v>0</v>
      </c>
      <c r="Q48" s="719">
        <f>+landbouw!P12</f>
        <v>0</v>
      </c>
      <c r="R48" s="761">
        <f ca="1">SUM(C48:Q48)</f>
        <v>6793.8833630832414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15356.83798191622</v>
      </c>
      <c r="D53" s="773">
        <f t="shared" ref="D53:Q53" ca="1" si="6">D41+D46+D48</f>
        <v>0</v>
      </c>
      <c r="E53" s="773">
        <f t="shared" ca="1" si="6"/>
        <v>45617.068128535451</v>
      </c>
      <c r="F53" s="773">
        <f t="shared" si="6"/>
        <v>1968.0099208852664</v>
      </c>
      <c r="G53" s="773">
        <f t="shared" ca="1" si="6"/>
        <v>13294.322337329397</v>
      </c>
      <c r="H53" s="773">
        <f t="shared" si="6"/>
        <v>15308.155350521462</v>
      </c>
      <c r="I53" s="773">
        <f t="shared" si="6"/>
        <v>3276.9235731497251</v>
      </c>
      <c r="J53" s="773">
        <f t="shared" si="6"/>
        <v>0</v>
      </c>
      <c r="K53" s="773">
        <f t="shared" si="6"/>
        <v>917.12503737457746</v>
      </c>
      <c r="L53" s="773">
        <f t="shared" si="6"/>
        <v>0</v>
      </c>
      <c r="M53" s="773">
        <f t="shared" ca="1" si="6"/>
        <v>0</v>
      </c>
      <c r="N53" s="773">
        <f t="shared" si="6"/>
        <v>0</v>
      </c>
      <c r="O53" s="773">
        <f t="shared" ca="1" si="6"/>
        <v>0</v>
      </c>
      <c r="P53" s="773">
        <f>P41+P46+P48</f>
        <v>0</v>
      </c>
      <c r="Q53" s="774">
        <f t="shared" si="6"/>
        <v>0</v>
      </c>
      <c r="R53" s="775">
        <f ca="1">R41+R46+R48</f>
        <v>95738.442329712081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0.20456803834762533</v>
      </c>
      <c r="D55" s="836">
        <f t="shared" ca="1" si="7"/>
        <v>0</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5581.6314985024364</v>
      </c>
      <c r="C66" s="795">
        <f>'lokale energieproductie'!B6</f>
        <v>5581.6314985024364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5581.6314985024364</v>
      </c>
      <c r="C69" s="803">
        <f>SUM(C64:C68)</f>
        <v>5581.6314985024364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21188.074264649495</v>
      </c>
      <c r="C4" s="478">
        <f>huishoudens!C8</f>
        <v>0</v>
      </c>
      <c r="D4" s="478">
        <f>huishoudens!D8</f>
        <v>42569.936454346236</v>
      </c>
      <c r="E4" s="478">
        <f>huishoudens!E8</f>
        <v>7006.9952209209623</v>
      </c>
      <c r="F4" s="478">
        <f>huishoudens!F8</f>
        <v>20948.801550296739</v>
      </c>
      <c r="G4" s="478">
        <f>huishoudens!G8</f>
        <v>0</v>
      </c>
      <c r="H4" s="478">
        <f>huishoudens!H8</f>
        <v>0</v>
      </c>
      <c r="I4" s="478">
        <f>huishoudens!I8</f>
        <v>0</v>
      </c>
      <c r="J4" s="478">
        <f>huishoudens!J8</f>
        <v>1897.0055908537779</v>
      </c>
      <c r="K4" s="478">
        <f>huishoudens!K8</f>
        <v>0</v>
      </c>
      <c r="L4" s="478">
        <f>huishoudens!L8</f>
        <v>0</v>
      </c>
      <c r="M4" s="478">
        <f>huishoudens!M8</f>
        <v>0</v>
      </c>
      <c r="N4" s="478">
        <f>huishoudens!N8</f>
        <v>19046.711605920922</v>
      </c>
      <c r="O4" s="478">
        <f>huishoudens!O8</f>
        <v>384.58000000000004</v>
      </c>
      <c r="P4" s="479">
        <f>huishoudens!P8</f>
        <v>610.13333333333333</v>
      </c>
      <c r="Q4" s="480">
        <f>SUM(B4:P4)</f>
        <v>113652.23802032146</v>
      </c>
    </row>
    <row r="5" spans="1:17">
      <c r="A5" s="477" t="s">
        <v>156</v>
      </c>
      <c r="B5" s="478">
        <f ca="1">tertiair!B16</f>
        <v>13966.836076567095</v>
      </c>
      <c r="C5" s="478">
        <f ca="1">tertiair!C16</f>
        <v>0</v>
      </c>
      <c r="D5" s="478">
        <f ca="1">tertiair!D16</f>
        <v>15454.281255804584</v>
      </c>
      <c r="E5" s="478">
        <f>tertiair!E16</f>
        <v>286.09273008840404</v>
      </c>
      <c r="F5" s="478">
        <f ca="1">tertiair!F16</f>
        <v>2721.1036595564751</v>
      </c>
      <c r="G5" s="478">
        <f>tertiair!G16</f>
        <v>0</v>
      </c>
      <c r="H5" s="478">
        <f>tertiair!H16</f>
        <v>0</v>
      </c>
      <c r="I5" s="478">
        <f>tertiair!I16</f>
        <v>0</v>
      </c>
      <c r="J5" s="478">
        <f>tertiair!J16</f>
        <v>6.2183831195542265E-2</v>
      </c>
      <c r="K5" s="478">
        <f>tertiair!K16</f>
        <v>0</v>
      </c>
      <c r="L5" s="478">
        <f ca="1">tertiair!L16</f>
        <v>0</v>
      </c>
      <c r="M5" s="478">
        <f>tertiair!M16</f>
        <v>0</v>
      </c>
      <c r="N5" s="478">
        <f ca="1">tertiair!N16</f>
        <v>2456.8493873537273</v>
      </c>
      <c r="O5" s="478">
        <f>tertiair!O16</f>
        <v>7.8166666666666664</v>
      </c>
      <c r="P5" s="479">
        <f>tertiair!P16</f>
        <v>57.2</v>
      </c>
      <c r="Q5" s="477">
        <f t="shared" ref="Q5:Q13" ca="1" si="0">SUM(B5:P5)</f>
        <v>34950.241959868144</v>
      </c>
    </row>
    <row r="6" spans="1:17">
      <c r="A6" s="477" t="s">
        <v>194</v>
      </c>
      <c r="B6" s="478">
        <f>'openbare verlichting'!B8</f>
        <v>713.53200000000004</v>
      </c>
      <c r="C6" s="478"/>
      <c r="D6" s="478"/>
      <c r="E6" s="478"/>
      <c r="F6" s="478"/>
      <c r="G6" s="478"/>
      <c r="H6" s="478"/>
      <c r="I6" s="478"/>
      <c r="J6" s="478"/>
      <c r="K6" s="478"/>
      <c r="L6" s="478"/>
      <c r="M6" s="478"/>
      <c r="N6" s="478"/>
      <c r="O6" s="478"/>
      <c r="P6" s="479"/>
      <c r="Q6" s="477">
        <f t="shared" si="0"/>
        <v>713.53200000000004</v>
      </c>
    </row>
    <row r="7" spans="1:17">
      <c r="A7" s="477" t="s">
        <v>112</v>
      </c>
      <c r="B7" s="478">
        <f>landbouw!B8</f>
        <v>4690.7469724871344</v>
      </c>
      <c r="C7" s="478">
        <f>landbouw!C8</f>
        <v>0</v>
      </c>
      <c r="D7" s="478">
        <f>landbouw!D8</f>
        <v>1707.3318783821046</v>
      </c>
      <c r="E7" s="478">
        <f>landbouw!E8</f>
        <v>137.87538071631715</v>
      </c>
      <c r="F7" s="478">
        <f>landbouw!F8</f>
        <v>19541.3984127193</v>
      </c>
      <c r="G7" s="478">
        <f>landbouw!G8</f>
        <v>0</v>
      </c>
      <c r="H7" s="478">
        <f>landbouw!H8</f>
        <v>0</v>
      </c>
      <c r="I7" s="478">
        <f>landbouw!I8</f>
        <v>0</v>
      </c>
      <c r="J7" s="478">
        <f>landbouw!J8</f>
        <v>679.58850136905005</v>
      </c>
      <c r="K7" s="478">
        <f>landbouw!K8</f>
        <v>0</v>
      </c>
      <c r="L7" s="478">
        <f>landbouw!L8</f>
        <v>0</v>
      </c>
      <c r="M7" s="478">
        <f>landbouw!M8</f>
        <v>0</v>
      </c>
      <c r="N7" s="478">
        <f>landbouw!N8</f>
        <v>0</v>
      </c>
      <c r="O7" s="478">
        <f>landbouw!O8</f>
        <v>0</v>
      </c>
      <c r="P7" s="479">
        <f>landbouw!P8</f>
        <v>0</v>
      </c>
      <c r="Q7" s="477">
        <f t="shared" si="0"/>
        <v>26756.941145673904</v>
      </c>
    </row>
    <row r="8" spans="1:17">
      <c r="A8" s="477" t="s">
        <v>635</v>
      </c>
      <c r="B8" s="478">
        <f>industrie!B18</f>
        <v>34482.645299999996</v>
      </c>
      <c r="C8" s="478">
        <f>industrie!C18</f>
        <v>0</v>
      </c>
      <c r="D8" s="478">
        <f>industrie!D18</f>
        <v>165977.60636324788</v>
      </c>
      <c r="E8" s="478">
        <f>industrie!E18</f>
        <v>1085.595341080716</v>
      </c>
      <c r="F8" s="478">
        <f>industrie!F18</f>
        <v>6580.1658056274691</v>
      </c>
      <c r="G8" s="478">
        <f>industrie!G18</f>
        <v>0</v>
      </c>
      <c r="H8" s="478">
        <f>industrie!H18</f>
        <v>0</v>
      </c>
      <c r="I8" s="478">
        <f>industrie!I18</f>
        <v>0</v>
      </c>
      <c r="J8" s="478">
        <f>industrie!J18</f>
        <v>14.092417094500515</v>
      </c>
      <c r="K8" s="478">
        <f>industrie!K18</f>
        <v>0</v>
      </c>
      <c r="L8" s="478">
        <f>industrie!L18</f>
        <v>0</v>
      </c>
      <c r="M8" s="478">
        <f>industrie!M18</f>
        <v>0</v>
      </c>
      <c r="N8" s="478">
        <f>industrie!N18</f>
        <v>5691.8864876400976</v>
      </c>
      <c r="O8" s="478">
        <f>industrie!O18</f>
        <v>0</v>
      </c>
      <c r="P8" s="479">
        <f>industrie!P18</f>
        <v>0</v>
      </c>
      <c r="Q8" s="477">
        <f t="shared" si="0"/>
        <v>213831.99171469067</v>
      </c>
    </row>
    <row r="9" spans="1:17" s="483" customFormat="1">
      <c r="A9" s="481" t="s">
        <v>561</v>
      </c>
      <c r="B9" s="482">
        <f>transport!B14</f>
        <v>27.751554102873694</v>
      </c>
      <c r="C9" s="482">
        <f>transport!C14</f>
        <v>0</v>
      </c>
      <c r="D9" s="482">
        <f>transport!D14</f>
        <v>117.91399146396606</v>
      </c>
      <c r="E9" s="482">
        <f>transport!E14</f>
        <v>153.08855576305521</v>
      </c>
      <c r="F9" s="482">
        <f>transport!F14</f>
        <v>0</v>
      </c>
      <c r="G9" s="482">
        <f>transport!G14</f>
        <v>56805.326616862672</v>
      </c>
      <c r="H9" s="482">
        <f>transport!H14</f>
        <v>13160.335635139458</v>
      </c>
      <c r="I9" s="482">
        <f>transport!I14</f>
        <v>0</v>
      </c>
      <c r="J9" s="482">
        <f>transport!J14</f>
        <v>0</v>
      </c>
      <c r="K9" s="482">
        <f>transport!K14</f>
        <v>0</v>
      </c>
      <c r="L9" s="482">
        <f>transport!L14</f>
        <v>0</v>
      </c>
      <c r="M9" s="482">
        <f>transport!M14</f>
        <v>3709.4707936622976</v>
      </c>
      <c r="N9" s="482">
        <f>transport!N14</f>
        <v>0</v>
      </c>
      <c r="O9" s="482">
        <f>transport!O14</f>
        <v>0</v>
      </c>
      <c r="P9" s="482">
        <f>transport!P14</f>
        <v>0</v>
      </c>
      <c r="Q9" s="481">
        <f>SUM(B9:P9)</f>
        <v>73973.887146994326</v>
      </c>
    </row>
    <row r="10" spans="1:17">
      <c r="A10" s="477" t="s">
        <v>551</v>
      </c>
      <c r="B10" s="478">
        <f>transport!B54</f>
        <v>0</v>
      </c>
      <c r="C10" s="478">
        <f>transport!C54</f>
        <v>0</v>
      </c>
      <c r="D10" s="478">
        <f>transport!D54</f>
        <v>0</v>
      </c>
      <c r="E10" s="478">
        <f>transport!E54</f>
        <v>0</v>
      </c>
      <c r="F10" s="478">
        <f>transport!F54</f>
        <v>0</v>
      </c>
      <c r="G10" s="478">
        <f>transport!G54</f>
        <v>528.58855362968745</v>
      </c>
      <c r="H10" s="478">
        <f>transport!H54</f>
        <v>0</v>
      </c>
      <c r="I10" s="478">
        <f>transport!I54</f>
        <v>0</v>
      </c>
      <c r="J10" s="478">
        <f>transport!J54</f>
        <v>0</v>
      </c>
      <c r="K10" s="478">
        <f>transport!K54</f>
        <v>0</v>
      </c>
      <c r="L10" s="478">
        <f>transport!L54</f>
        <v>0</v>
      </c>
      <c r="M10" s="478">
        <f>transport!M54</f>
        <v>30.021496351620243</v>
      </c>
      <c r="N10" s="478">
        <f>transport!N54</f>
        <v>0</v>
      </c>
      <c r="O10" s="478">
        <f>transport!O54</f>
        <v>0</v>
      </c>
      <c r="P10" s="479">
        <f>transport!P54</f>
        <v>0</v>
      </c>
      <c r="Q10" s="477">
        <f t="shared" si="0"/>
        <v>558.61004998130772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75069.586167806585</v>
      </c>
      <c r="C14" s="488">
        <f t="shared" ref="C14:Q14" ca="1" si="1">SUM(C4:C13)</f>
        <v>0</v>
      </c>
      <c r="D14" s="488">
        <f t="shared" ca="1" si="1"/>
        <v>225827.06994324474</v>
      </c>
      <c r="E14" s="488">
        <f t="shared" si="1"/>
        <v>8669.6472285694563</v>
      </c>
      <c r="F14" s="488">
        <f t="shared" ca="1" si="1"/>
        <v>49791.469428199984</v>
      </c>
      <c r="G14" s="488">
        <f t="shared" si="1"/>
        <v>57333.915170492357</v>
      </c>
      <c r="H14" s="488">
        <f t="shared" si="1"/>
        <v>13160.335635139458</v>
      </c>
      <c r="I14" s="488">
        <f t="shared" si="1"/>
        <v>0</v>
      </c>
      <c r="J14" s="488">
        <f t="shared" si="1"/>
        <v>2590.7486931485241</v>
      </c>
      <c r="K14" s="488">
        <f t="shared" si="1"/>
        <v>0</v>
      </c>
      <c r="L14" s="488">
        <f t="shared" ca="1" si="1"/>
        <v>0</v>
      </c>
      <c r="M14" s="488">
        <f t="shared" si="1"/>
        <v>3739.4922900139177</v>
      </c>
      <c r="N14" s="488">
        <f t="shared" ca="1" si="1"/>
        <v>27195.447480914747</v>
      </c>
      <c r="O14" s="488">
        <f t="shared" si="1"/>
        <v>392.3966666666667</v>
      </c>
      <c r="P14" s="489">
        <f t="shared" si="1"/>
        <v>667.33333333333337</v>
      </c>
      <c r="Q14" s="489">
        <f t="shared" ca="1" si="1"/>
        <v>464437.44203752984</v>
      </c>
    </row>
    <row r="16" spans="1:17">
      <c r="A16" s="491" t="s">
        <v>556</v>
      </c>
      <c r="B16" s="841">
        <f ca="1">huishoudens!B10</f>
        <v>0.20456803834762527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4334.40278868315</v>
      </c>
      <c r="C21" s="478">
        <f t="shared" ref="C21:C30" ca="1" si="3">C4*$C$16</f>
        <v>0</v>
      </c>
      <c r="D21" s="478">
        <f t="shared" ref="D21:D30" si="4">D4*$D$16</f>
        <v>8599.127163777941</v>
      </c>
      <c r="E21" s="478">
        <f t="shared" ref="E21:E30" si="5">E4*$E$16</f>
        <v>1590.5879151490585</v>
      </c>
      <c r="F21" s="478">
        <f t="shared" ref="F21:F30" si="6">F4*$F$16</f>
        <v>5593.3300139292296</v>
      </c>
      <c r="G21" s="478">
        <f t="shared" ref="G21:G30" si="7">G4*$G$16</f>
        <v>0</v>
      </c>
      <c r="H21" s="478">
        <f t="shared" ref="H21:H30" si="8">H4*$H$16</f>
        <v>0</v>
      </c>
      <c r="I21" s="478">
        <f t="shared" ref="I21:I30" si="9">I4*$I$16</f>
        <v>0</v>
      </c>
      <c r="J21" s="478">
        <f t="shared" ref="J21:J30" si="10">J4*$J$16</f>
        <v>671.53997916223739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20788.987860701618</v>
      </c>
    </row>
    <row r="22" spans="1:17">
      <c r="A22" s="477" t="s">
        <v>156</v>
      </c>
      <c r="B22" s="478">
        <f t="shared" ca="1" si="2"/>
        <v>2857.1682581061737</v>
      </c>
      <c r="C22" s="478">
        <f t="shared" ca="1" si="3"/>
        <v>0</v>
      </c>
      <c r="D22" s="478">
        <f t="shared" ca="1" si="4"/>
        <v>3121.7648136725261</v>
      </c>
      <c r="E22" s="478">
        <f t="shared" si="5"/>
        <v>64.943049730067713</v>
      </c>
      <c r="F22" s="478">
        <f t="shared" ca="1" si="6"/>
        <v>726.53467710157895</v>
      </c>
      <c r="G22" s="478">
        <f t="shared" si="7"/>
        <v>0</v>
      </c>
      <c r="H22" s="478">
        <f t="shared" si="8"/>
        <v>0</v>
      </c>
      <c r="I22" s="478">
        <f t="shared" si="9"/>
        <v>0</v>
      </c>
      <c r="J22" s="478">
        <f t="shared" si="10"/>
        <v>2.2013076243221959E-2</v>
      </c>
      <c r="K22" s="478">
        <f t="shared" si="11"/>
        <v>0</v>
      </c>
      <c r="L22" s="478">
        <f t="shared" ca="1" si="12"/>
        <v>0</v>
      </c>
      <c r="M22" s="478">
        <f t="shared" si="13"/>
        <v>0</v>
      </c>
      <c r="N22" s="478">
        <f t="shared" ca="1" si="14"/>
        <v>0</v>
      </c>
      <c r="O22" s="478">
        <f t="shared" si="15"/>
        <v>0</v>
      </c>
      <c r="P22" s="479">
        <f t="shared" si="16"/>
        <v>0</v>
      </c>
      <c r="Q22" s="477">
        <f t="shared" ref="Q22:Q30" ca="1" si="17">SUM(B22:P22)</f>
        <v>6770.43281168659</v>
      </c>
    </row>
    <row r="23" spans="1:17">
      <c r="A23" s="477" t="s">
        <v>194</v>
      </c>
      <c r="B23" s="478">
        <f t="shared" ca="1" si="2"/>
        <v>145.96584153825776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145.96584153825776</v>
      </c>
    </row>
    <row r="24" spans="1:17">
      <c r="A24" s="477" t="s">
        <v>112</v>
      </c>
      <c r="B24" s="478">
        <f t="shared" ca="1" si="2"/>
        <v>959.57690654675525</v>
      </c>
      <c r="C24" s="478">
        <f t="shared" ca="1" si="3"/>
        <v>0</v>
      </c>
      <c r="D24" s="478">
        <f t="shared" si="4"/>
        <v>344.88103943318515</v>
      </c>
      <c r="E24" s="478">
        <f t="shared" si="5"/>
        <v>31.297711422603996</v>
      </c>
      <c r="F24" s="478">
        <f t="shared" si="6"/>
        <v>5217.5533761960533</v>
      </c>
      <c r="G24" s="478">
        <f t="shared" si="7"/>
        <v>0</v>
      </c>
      <c r="H24" s="478">
        <f t="shared" si="8"/>
        <v>0</v>
      </c>
      <c r="I24" s="478">
        <f t="shared" si="9"/>
        <v>0</v>
      </c>
      <c r="J24" s="478">
        <f t="shared" si="10"/>
        <v>240.5743294846437</v>
      </c>
      <c r="K24" s="478">
        <f t="shared" si="11"/>
        <v>0</v>
      </c>
      <c r="L24" s="478">
        <f t="shared" si="12"/>
        <v>0</v>
      </c>
      <c r="M24" s="478">
        <f t="shared" si="13"/>
        <v>0</v>
      </c>
      <c r="N24" s="478">
        <f t="shared" si="14"/>
        <v>0</v>
      </c>
      <c r="O24" s="478">
        <f t="shared" si="15"/>
        <v>0</v>
      </c>
      <c r="P24" s="479">
        <f t="shared" si="16"/>
        <v>0</v>
      </c>
      <c r="Q24" s="477">
        <f t="shared" ca="1" si="17"/>
        <v>6793.8833630832414</v>
      </c>
    </row>
    <row r="25" spans="1:17">
      <c r="A25" s="477" t="s">
        <v>635</v>
      </c>
      <c r="B25" s="478">
        <f t="shared" ca="1" si="2"/>
        <v>7054.0471060579594</v>
      </c>
      <c r="C25" s="478">
        <f t="shared" ca="1" si="3"/>
        <v>0</v>
      </c>
      <c r="D25" s="478">
        <f t="shared" si="4"/>
        <v>33527.476485376072</v>
      </c>
      <c r="E25" s="478">
        <f t="shared" si="5"/>
        <v>246.43014242532254</v>
      </c>
      <c r="F25" s="478">
        <f t="shared" si="6"/>
        <v>1756.9042701025344</v>
      </c>
      <c r="G25" s="478">
        <f t="shared" si="7"/>
        <v>0</v>
      </c>
      <c r="H25" s="478">
        <f t="shared" si="8"/>
        <v>0</v>
      </c>
      <c r="I25" s="478">
        <f t="shared" si="9"/>
        <v>0</v>
      </c>
      <c r="J25" s="478">
        <f t="shared" si="10"/>
        <v>4.9887156514531821</v>
      </c>
      <c r="K25" s="478">
        <f t="shared" si="11"/>
        <v>0</v>
      </c>
      <c r="L25" s="478">
        <f t="shared" si="12"/>
        <v>0</v>
      </c>
      <c r="M25" s="478">
        <f t="shared" si="13"/>
        <v>0</v>
      </c>
      <c r="N25" s="478">
        <f t="shared" si="14"/>
        <v>0</v>
      </c>
      <c r="O25" s="478">
        <f t="shared" si="15"/>
        <v>0</v>
      </c>
      <c r="P25" s="479">
        <f t="shared" si="16"/>
        <v>0</v>
      </c>
      <c r="Q25" s="477">
        <f t="shared" ca="1" si="17"/>
        <v>42589.846719613335</v>
      </c>
    </row>
    <row r="26" spans="1:17" s="483" customFormat="1">
      <c r="A26" s="481" t="s">
        <v>561</v>
      </c>
      <c r="B26" s="835">
        <f t="shared" ca="1" si="2"/>
        <v>5.6770809839228633</v>
      </c>
      <c r="C26" s="482">
        <f t="shared" ca="1" si="3"/>
        <v>0</v>
      </c>
      <c r="D26" s="482">
        <f t="shared" si="4"/>
        <v>23.818626275721144</v>
      </c>
      <c r="E26" s="482">
        <f t="shared" si="5"/>
        <v>34.751102158213534</v>
      </c>
      <c r="F26" s="482">
        <f t="shared" si="6"/>
        <v>0</v>
      </c>
      <c r="G26" s="482">
        <f t="shared" si="7"/>
        <v>15167.022206702335</v>
      </c>
      <c r="H26" s="482">
        <f t="shared" si="8"/>
        <v>3276.9235731497251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18508.192589269918</v>
      </c>
    </row>
    <row r="27" spans="1:17">
      <c r="A27" s="477" t="s">
        <v>551</v>
      </c>
      <c r="B27" s="478">
        <f t="shared" ca="1" si="2"/>
        <v>0</v>
      </c>
      <c r="C27" s="478">
        <f t="shared" ca="1" si="3"/>
        <v>0</v>
      </c>
      <c r="D27" s="478">
        <f t="shared" si="4"/>
        <v>0</v>
      </c>
      <c r="E27" s="478">
        <f t="shared" si="5"/>
        <v>0</v>
      </c>
      <c r="F27" s="478">
        <f t="shared" si="6"/>
        <v>0</v>
      </c>
      <c r="G27" s="478">
        <f t="shared" si="7"/>
        <v>141.13314381912656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141.13314381912656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15356.83798191622</v>
      </c>
      <c r="C31" s="488">
        <f t="shared" ca="1" si="18"/>
        <v>0</v>
      </c>
      <c r="D31" s="488">
        <f t="shared" ca="1" si="18"/>
        <v>45617.068128535444</v>
      </c>
      <c r="E31" s="488">
        <f t="shared" si="18"/>
        <v>1968.0099208852664</v>
      </c>
      <c r="F31" s="488">
        <f t="shared" ca="1" si="18"/>
        <v>13294.322337329397</v>
      </c>
      <c r="G31" s="488">
        <f t="shared" si="18"/>
        <v>15308.155350521462</v>
      </c>
      <c r="H31" s="488">
        <f t="shared" si="18"/>
        <v>3276.9235731497251</v>
      </c>
      <c r="I31" s="488">
        <f t="shared" si="18"/>
        <v>0</v>
      </c>
      <c r="J31" s="488">
        <f t="shared" si="18"/>
        <v>917.12503737457746</v>
      </c>
      <c r="K31" s="488">
        <f t="shared" si="18"/>
        <v>0</v>
      </c>
      <c r="L31" s="488">
        <f t="shared" ca="1" si="18"/>
        <v>0</v>
      </c>
      <c r="M31" s="488">
        <f t="shared" si="18"/>
        <v>0</v>
      </c>
      <c r="N31" s="488">
        <f t="shared" ca="1" si="18"/>
        <v>0</v>
      </c>
      <c r="O31" s="488">
        <f t="shared" si="18"/>
        <v>0</v>
      </c>
      <c r="P31" s="489">
        <f t="shared" si="18"/>
        <v>0</v>
      </c>
      <c r="Q31" s="489">
        <f t="shared" ca="1" si="18"/>
        <v>95738.442329712081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0.20456803834762527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0.20456803834762527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0.20456803834762527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5106</v>
      </c>
      <c r="C9" s="342">
        <v>4916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4041.5</v>
      </c>
    </row>
    <row r="15" spans="1:6">
      <c r="A15" s="348" t="s">
        <v>184</v>
      </c>
      <c r="B15" s="334">
        <v>820</v>
      </c>
    </row>
    <row r="16" spans="1:6">
      <c r="A16" s="348" t="s">
        <v>6</v>
      </c>
      <c r="B16" s="334">
        <v>1282</v>
      </c>
    </row>
    <row r="17" spans="1:6">
      <c r="A17" s="348" t="s">
        <v>7</v>
      </c>
      <c r="B17" s="334">
        <v>1327</v>
      </c>
    </row>
    <row r="18" spans="1:6">
      <c r="A18" s="348" t="s">
        <v>8</v>
      </c>
      <c r="B18" s="334">
        <v>1899</v>
      </c>
    </row>
    <row r="19" spans="1:6">
      <c r="A19" s="348" t="s">
        <v>9</v>
      </c>
      <c r="B19" s="334">
        <v>1505</v>
      </c>
    </row>
    <row r="20" spans="1:6">
      <c r="A20" s="348" t="s">
        <v>10</v>
      </c>
      <c r="B20" s="334">
        <v>959</v>
      </c>
    </row>
    <row r="21" spans="1:6">
      <c r="A21" s="348" t="s">
        <v>11</v>
      </c>
      <c r="B21" s="334">
        <v>28984</v>
      </c>
    </row>
    <row r="22" spans="1:6">
      <c r="A22" s="348" t="s">
        <v>12</v>
      </c>
      <c r="B22" s="334">
        <v>70658</v>
      </c>
    </row>
    <row r="23" spans="1:6">
      <c r="A23" s="348" t="s">
        <v>13</v>
      </c>
      <c r="B23" s="334">
        <v>1196</v>
      </c>
    </row>
    <row r="24" spans="1:6">
      <c r="A24" s="348" t="s">
        <v>14</v>
      </c>
      <c r="B24" s="334">
        <v>47</v>
      </c>
    </row>
    <row r="25" spans="1:6">
      <c r="A25" s="348" t="s">
        <v>15</v>
      </c>
      <c r="B25" s="334">
        <v>7158</v>
      </c>
    </row>
    <row r="26" spans="1:6">
      <c r="A26" s="348" t="s">
        <v>16</v>
      </c>
      <c r="B26" s="334">
        <v>484</v>
      </c>
    </row>
    <row r="27" spans="1:6">
      <c r="A27" s="348" t="s">
        <v>17</v>
      </c>
      <c r="B27" s="334">
        <v>10</v>
      </c>
    </row>
    <row r="28" spans="1:6" s="356" customFormat="1">
      <c r="A28" s="355" t="s">
        <v>18</v>
      </c>
      <c r="B28" s="355">
        <v>142859</v>
      </c>
    </row>
    <row r="29" spans="1:6">
      <c r="A29" s="355" t="s">
        <v>744</v>
      </c>
      <c r="B29" s="355">
        <v>177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502058.74512015702</v>
      </c>
      <c r="E36" s="334">
        <v>14</v>
      </c>
      <c r="F36" s="334">
        <v>310017</v>
      </c>
    </row>
    <row r="37" spans="1:6">
      <c r="A37" s="348" t="s">
        <v>25</v>
      </c>
      <c r="B37" s="348" t="s">
        <v>28</v>
      </c>
      <c r="C37" s="334">
        <v>0</v>
      </c>
      <c r="D37" s="334">
        <v>0</v>
      </c>
      <c r="E37" s="334">
        <v>0</v>
      </c>
      <c r="F37" s="334">
        <v>0</v>
      </c>
    </row>
    <row r="38" spans="1:6">
      <c r="A38" s="348" t="s">
        <v>25</v>
      </c>
      <c r="B38" s="348" t="s">
        <v>29</v>
      </c>
      <c r="C38" s="334">
        <v>3</v>
      </c>
      <c r="D38" s="334">
        <v>7656.3679736981003</v>
      </c>
      <c r="E38" s="334">
        <v>0</v>
      </c>
      <c r="F38" s="334">
        <v>0</v>
      </c>
    </row>
    <row r="39" spans="1:6">
      <c r="A39" s="348" t="s">
        <v>30</v>
      </c>
      <c r="B39" s="348" t="s">
        <v>31</v>
      </c>
      <c r="C39" s="334">
        <v>2970</v>
      </c>
      <c r="D39" s="334">
        <v>47195051.5014925</v>
      </c>
      <c r="E39" s="334">
        <v>4781</v>
      </c>
      <c r="F39" s="334">
        <v>17957785.846389461</v>
      </c>
    </row>
    <row r="40" spans="1:6">
      <c r="A40" s="348" t="s">
        <v>30</v>
      </c>
      <c r="B40" s="348" t="s">
        <v>29</v>
      </c>
      <c r="C40" s="334">
        <v>0</v>
      </c>
      <c r="D40" s="334">
        <v>0</v>
      </c>
      <c r="E40" s="334">
        <v>0</v>
      </c>
      <c r="F40" s="334">
        <v>0</v>
      </c>
    </row>
    <row r="41" spans="1:6">
      <c r="A41" s="348" t="s">
        <v>32</v>
      </c>
      <c r="B41" s="348" t="s">
        <v>33</v>
      </c>
      <c r="C41" s="334">
        <v>65</v>
      </c>
      <c r="D41" s="334">
        <v>1421844.96915698</v>
      </c>
      <c r="E41" s="334">
        <v>167</v>
      </c>
      <c r="F41" s="334">
        <v>2663386.2999999998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170696.23308891599</v>
      </c>
      <c r="E44" s="334">
        <v>35</v>
      </c>
      <c r="F44" s="334">
        <v>1540756</v>
      </c>
    </row>
    <row r="45" spans="1:6">
      <c r="A45" s="348" t="s">
        <v>32</v>
      </c>
      <c r="B45" s="348" t="s">
        <v>37</v>
      </c>
      <c r="C45" s="334">
        <v>0</v>
      </c>
      <c r="D45" s="334">
        <v>0</v>
      </c>
      <c r="E45" s="334">
        <v>4</v>
      </c>
      <c r="F45" s="334">
        <v>8528517</v>
      </c>
    </row>
    <row r="46" spans="1:6">
      <c r="A46" s="348" t="s">
        <v>32</v>
      </c>
      <c r="B46" s="348" t="s">
        <v>38</v>
      </c>
      <c r="C46" s="334">
        <v>0</v>
      </c>
      <c r="D46" s="334">
        <v>0</v>
      </c>
      <c r="E46" s="334">
        <v>0</v>
      </c>
      <c r="F46" s="334">
        <v>0</v>
      </c>
    </row>
    <row r="47" spans="1:6">
      <c r="A47" s="348" t="s">
        <v>32</v>
      </c>
      <c r="B47" s="348" t="s">
        <v>39</v>
      </c>
      <c r="C47" s="334">
        <v>0</v>
      </c>
      <c r="D47" s="334">
        <v>0</v>
      </c>
      <c r="E47" s="334">
        <v>3</v>
      </c>
      <c r="F47" s="334">
        <v>501060</v>
      </c>
    </row>
    <row r="48" spans="1:6">
      <c r="A48" s="348" t="s">
        <v>32</v>
      </c>
      <c r="B48" s="348" t="s">
        <v>29</v>
      </c>
      <c r="C48" s="334">
        <v>25</v>
      </c>
      <c r="D48" s="334">
        <v>181800334.700712</v>
      </c>
      <c r="E48" s="334">
        <v>0</v>
      </c>
      <c r="F48" s="334">
        <v>0</v>
      </c>
    </row>
    <row r="49" spans="1:6">
      <c r="A49" s="348" t="s">
        <v>32</v>
      </c>
      <c r="B49" s="348" t="s">
        <v>40</v>
      </c>
      <c r="C49" s="334">
        <v>0</v>
      </c>
      <c r="D49" s="334">
        <v>0</v>
      </c>
      <c r="E49" s="334">
        <v>0</v>
      </c>
      <c r="F49" s="334">
        <v>0</v>
      </c>
    </row>
    <row r="50" spans="1:6">
      <c r="A50" s="348" t="s">
        <v>32</v>
      </c>
      <c r="B50" s="348" t="s">
        <v>41</v>
      </c>
      <c r="C50" s="334">
        <v>9</v>
      </c>
      <c r="D50" s="334">
        <v>617774.16716169496</v>
      </c>
      <c r="E50" s="334">
        <v>22</v>
      </c>
      <c r="F50" s="334">
        <v>21248926</v>
      </c>
    </row>
    <row r="51" spans="1:6">
      <c r="A51" s="348" t="s">
        <v>42</v>
      </c>
      <c r="B51" s="348" t="s">
        <v>43</v>
      </c>
      <c r="C51" s="334">
        <v>23</v>
      </c>
      <c r="D51" s="334">
        <v>570432.97681055602</v>
      </c>
      <c r="E51" s="334">
        <v>211</v>
      </c>
      <c r="F51" s="334">
        <v>4687826</v>
      </c>
    </row>
    <row r="52" spans="1:6">
      <c r="A52" s="348" t="s">
        <v>42</v>
      </c>
      <c r="B52" s="348" t="s">
        <v>29</v>
      </c>
      <c r="C52" s="334">
        <v>9</v>
      </c>
      <c r="D52" s="334">
        <v>215741.75118837701</v>
      </c>
      <c r="E52" s="334">
        <v>1</v>
      </c>
      <c r="F52" s="334">
        <v>2920.9724871336002</v>
      </c>
    </row>
    <row r="53" spans="1:6">
      <c r="A53" s="348" t="s">
        <v>44</v>
      </c>
      <c r="B53" s="348" t="s">
        <v>45</v>
      </c>
      <c r="C53" s="334">
        <v>68</v>
      </c>
      <c r="D53" s="334">
        <v>1106654.40546238</v>
      </c>
      <c r="E53" s="334">
        <v>0</v>
      </c>
      <c r="F53" s="334">
        <v>0</v>
      </c>
    </row>
    <row r="54" spans="1:6">
      <c r="A54" s="348" t="s">
        <v>46</v>
      </c>
      <c r="B54" s="348" t="s">
        <v>47</v>
      </c>
      <c r="C54" s="334">
        <v>0</v>
      </c>
      <c r="D54" s="334">
        <v>0</v>
      </c>
      <c r="E54" s="334">
        <v>1</v>
      </c>
      <c r="F54" s="334">
        <v>713532</v>
      </c>
    </row>
    <row r="55" spans="1:6">
      <c r="A55" s="348" t="s">
        <v>46</v>
      </c>
      <c r="B55" s="348" t="s">
        <v>29</v>
      </c>
      <c r="C55" s="334">
        <v>0</v>
      </c>
      <c r="D55" s="334">
        <v>0</v>
      </c>
      <c r="E55" s="334">
        <v>0</v>
      </c>
      <c r="F55" s="334">
        <v>0</v>
      </c>
    </row>
    <row r="56" spans="1:6">
      <c r="A56" s="348" t="s">
        <v>48</v>
      </c>
      <c r="B56" s="348" t="s">
        <v>29</v>
      </c>
      <c r="C56" s="334">
        <v>0</v>
      </c>
      <c r="D56" s="334">
        <v>0</v>
      </c>
      <c r="E56" s="334">
        <v>9</v>
      </c>
      <c r="F56" s="334">
        <v>321120</v>
      </c>
    </row>
    <row r="57" spans="1:6">
      <c r="A57" s="348" t="s">
        <v>49</v>
      </c>
      <c r="B57" s="348" t="s">
        <v>50</v>
      </c>
      <c r="C57" s="334">
        <v>29</v>
      </c>
      <c r="D57" s="334">
        <v>843537.08833050798</v>
      </c>
      <c r="E57" s="334">
        <v>119</v>
      </c>
      <c r="F57" s="334">
        <v>2864064.75</v>
      </c>
    </row>
    <row r="58" spans="1:6">
      <c r="A58" s="348" t="s">
        <v>49</v>
      </c>
      <c r="B58" s="348" t="s">
        <v>51</v>
      </c>
      <c r="C58" s="334">
        <v>14</v>
      </c>
      <c r="D58" s="334">
        <v>277421.09886122099</v>
      </c>
      <c r="E58" s="334">
        <v>20</v>
      </c>
      <c r="F58" s="334">
        <v>691280</v>
      </c>
    </row>
    <row r="59" spans="1:6">
      <c r="A59" s="348" t="s">
        <v>49</v>
      </c>
      <c r="B59" s="348" t="s">
        <v>52</v>
      </c>
      <c r="C59" s="334">
        <v>51</v>
      </c>
      <c r="D59" s="334">
        <v>1678779.5403877399</v>
      </c>
      <c r="E59" s="334">
        <v>173</v>
      </c>
      <c r="F59" s="334">
        <v>7332428.8499999996</v>
      </c>
    </row>
    <row r="60" spans="1:6">
      <c r="A60" s="348" t="s">
        <v>49</v>
      </c>
      <c r="B60" s="348" t="s">
        <v>53</v>
      </c>
      <c r="C60" s="334">
        <v>37</v>
      </c>
      <c r="D60" s="334">
        <v>5891801.9866288202</v>
      </c>
      <c r="E60" s="334">
        <v>40</v>
      </c>
      <c r="F60" s="334">
        <v>708831</v>
      </c>
    </row>
    <row r="61" spans="1:6">
      <c r="A61" s="348" t="s">
        <v>49</v>
      </c>
      <c r="B61" s="348" t="s">
        <v>54</v>
      </c>
      <c r="C61" s="334">
        <v>84</v>
      </c>
      <c r="D61" s="334">
        <v>4676879.8946654396</v>
      </c>
      <c r="E61" s="334">
        <v>175</v>
      </c>
      <c r="F61" s="334">
        <v>1936474.4000000001</v>
      </c>
    </row>
    <row r="62" spans="1:6">
      <c r="A62" s="348" t="s">
        <v>49</v>
      </c>
      <c r="B62" s="348" t="s">
        <v>55</v>
      </c>
      <c r="C62" s="334">
        <v>3</v>
      </c>
      <c r="D62" s="334">
        <v>244708.70962507199</v>
      </c>
      <c r="E62" s="334">
        <v>12</v>
      </c>
      <c r="F62" s="334">
        <v>427062</v>
      </c>
    </row>
    <row r="63" spans="1:6">
      <c r="A63" s="348" t="s">
        <v>49</v>
      </c>
      <c r="B63" s="348" t="s">
        <v>29</v>
      </c>
      <c r="C63" s="334">
        <v>85</v>
      </c>
      <c r="D63" s="334">
        <v>3520221.18904508</v>
      </c>
      <c r="E63" s="334">
        <v>1</v>
      </c>
      <c r="F63" s="334">
        <v>6695.0765670950004</v>
      </c>
    </row>
    <row r="64" spans="1:6">
      <c r="A64" s="348" t="s">
        <v>56</v>
      </c>
      <c r="B64" s="348" t="s">
        <v>57</v>
      </c>
      <c r="C64" s="334">
        <v>0</v>
      </c>
      <c r="D64" s="334">
        <v>0</v>
      </c>
      <c r="E64" s="334">
        <v>0</v>
      </c>
      <c r="F64" s="334">
        <v>0</v>
      </c>
    </row>
    <row r="65" spans="1:6">
      <c r="A65" s="348" t="s">
        <v>56</v>
      </c>
      <c r="B65" s="348" t="s">
        <v>29</v>
      </c>
      <c r="C65" s="334">
        <v>4</v>
      </c>
      <c r="D65" s="334">
        <v>158962.42817499899</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118595.251531562</v>
      </c>
      <c r="E68" s="334">
        <v>23</v>
      </c>
      <c r="F68" s="334">
        <v>230519.75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32771319</v>
      </c>
      <c r="E73" s="476">
        <v>34285029.638217665</v>
      </c>
    </row>
    <row r="74" spans="1:6">
      <c r="A74" s="348" t="s">
        <v>64</v>
      </c>
      <c r="B74" s="348" t="s">
        <v>657</v>
      </c>
      <c r="C74" s="1213" t="s">
        <v>659</v>
      </c>
      <c r="D74" s="476">
        <v>3685799.8092658985</v>
      </c>
      <c r="E74" s="476">
        <v>3681867.8422957384</v>
      </c>
    </row>
    <row r="75" spans="1:6">
      <c r="A75" s="348" t="s">
        <v>65</v>
      </c>
      <c r="B75" s="348" t="s">
        <v>656</v>
      </c>
      <c r="C75" s="1213" t="s">
        <v>660</v>
      </c>
      <c r="D75" s="476">
        <v>37770929</v>
      </c>
      <c r="E75" s="476">
        <v>37280350.526985146</v>
      </c>
    </row>
    <row r="76" spans="1:6">
      <c r="A76" s="348" t="s">
        <v>65</v>
      </c>
      <c r="B76" s="348" t="s">
        <v>657</v>
      </c>
      <c r="C76" s="1213" t="s">
        <v>661</v>
      </c>
      <c r="D76" s="476">
        <v>2806794.8092658985</v>
      </c>
      <c r="E76" s="476">
        <v>2752007.4920520177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151504.38146820263</v>
      </c>
      <c r="C83" s="476">
        <v>151377.58266388567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3230.2884182600314</v>
      </c>
    </row>
    <row r="92" spans="1:6">
      <c r="A92" s="341" t="s">
        <v>69</v>
      </c>
      <c r="B92" s="342">
        <v>2351.343080242405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15</v>
      </c>
      <c r="C123" s="334">
        <v>32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214</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75069.586167806585</v>
      </c>
      <c r="C3" s="43" t="s">
        <v>170</v>
      </c>
      <c r="D3" s="43"/>
      <c r="E3" s="154"/>
      <c r="F3" s="43"/>
      <c r="G3" s="43"/>
      <c r="H3" s="43"/>
      <c r="I3" s="43"/>
      <c r="J3" s="43"/>
      <c r="K3" s="96"/>
    </row>
    <row r="4" spans="1:11">
      <c r="A4" s="383" t="s">
        <v>171</v>
      </c>
      <c r="B4" s="49">
        <f>IF(ISERROR('SEAP template'!B69),0,'SEAP template'!B69)</f>
        <v>5581.6314985024364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0.20456803834762527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713.53200000000004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713.53200000000004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0.20456803834762527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145.96584153825776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17957.785846389463</v>
      </c>
      <c r="C5" s="17">
        <f>IF(ISERROR('Eigen informatie GS &amp; warmtenet'!B57),0,'Eigen informatie GS &amp; warmtenet'!B57)</f>
        <v>0</v>
      </c>
      <c r="D5" s="30">
        <f>(SUM(HH_hh_gas_kWh,HH_rest_gas_kWh)/1000)*0.902</f>
        <v>42569.936454346236</v>
      </c>
      <c r="E5" s="17">
        <f>B46*B57</f>
        <v>7006.9952209209623</v>
      </c>
      <c r="F5" s="17">
        <f>B51*B62</f>
        <v>20948.801550296739</v>
      </c>
      <c r="G5" s="18"/>
      <c r="H5" s="17"/>
      <c r="I5" s="17"/>
      <c r="J5" s="17">
        <f>B50*B61+C50*C61</f>
        <v>1897.0055908537779</v>
      </c>
      <c r="K5" s="17"/>
      <c r="L5" s="17"/>
      <c r="M5" s="17"/>
      <c r="N5" s="17">
        <f>B48*B59+C48*C59</f>
        <v>19046.711605920922</v>
      </c>
      <c r="O5" s="17">
        <f>B69*B70*B71</f>
        <v>384.58000000000004</v>
      </c>
      <c r="P5" s="17">
        <f>B77*B78*B79/1000-B77*B78*B79/1000/B80</f>
        <v>610.13333333333333</v>
      </c>
    </row>
    <row r="6" spans="1:16">
      <c r="A6" s="16" t="s">
        <v>621</v>
      </c>
      <c r="B6" s="843">
        <f>kWh_PV_kleiner_dan_10kW</f>
        <v>3230.2884182600314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21188.074264649495</v>
      </c>
      <c r="C8" s="21">
        <f>C5</f>
        <v>0</v>
      </c>
      <c r="D8" s="21">
        <f>D5</f>
        <v>42569.936454346236</v>
      </c>
      <c r="E8" s="21">
        <f>E5</f>
        <v>7006.9952209209623</v>
      </c>
      <c r="F8" s="21">
        <f>F5</f>
        <v>20948.801550296739</v>
      </c>
      <c r="G8" s="21"/>
      <c r="H8" s="21"/>
      <c r="I8" s="21"/>
      <c r="J8" s="21">
        <f>J5</f>
        <v>1897.0055908537779</v>
      </c>
      <c r="K8" s="21"/>
      <c r="L8" s="21">
        <f>L5</f>
        <v>0</v>
      </c>
      <c r="M8" s="21">
        <f>M5</f>
        <v>0</v>
      </c>
      <c r="N8" s="21">
        <f>N5</f>
        <v>19046.711605920922</v>
      </c>
      <c r="O8" s="21">
        <f>O5</f>
        <v>384.58000000000004</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0.20456803834762527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4334.40278868315</v>
      </c>
      <c r="C12" s="23">
        <f ca="1">C10*C8</f>
        <v>0</v>
      </c>
      <c r="D12" s="23">
        <f>D8*D10</f>
        <v>8599.127163777941</v>
      </c>
      <c r="E12" s="23">
        <f>E10*E8</f>
        <v>1590.5879151490585</v>
      </c>
      <c r="F12" s="23">
        <f>F10*F8</f>
        <v>5593.3300139292296</v>
      </c>
      <c r="G12" s="23"/>
      <c r="H12" s="23"/>
      <c r="I12" s="23"/>
      <c r="J12" s="23">
        <f>J10*J8</f>
        <v>671.53997916223739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5106</v>
      </c>
      <c r="C28" s="36"/>
      <c r="D28" s="228"/>
    </row>
    <row r="29" spans="1:7" s="15" customFormat="1">
      <c r="A29" s="230" t="s">
        <v>795</v>
      </c>
      <c r="B29" s="37">
        <f>SUM(HH_hh_gas_aantal,HH_rest_gas_aantal)</f>
        <v>2970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2970</v>
      </c>
      <c r="C32" s="167">
        <f>IF(ISERROR(B32/SUM($B$32,$B$34,$B$35,$B$36,$B$38,$B$39)*100),0,B32/SUM($B$32,$B$34,$B$35,$B$36,$B$38,$B$39)*100)</f>
        <v>58.533701221915649</v>
      </c>
      <c r="D32" s="233"/>
      <c r="G32" s="15"/>
    </row>
    <row r="33" spans="1:7">
      <c r="A33" s="171" t="s">
        <v>72</v>
      </c>
      <c r="B33" s="34" t="s">
        <v>111</v>
      </c>
      <c r="C33" s="167"/>
      <c r="D33" s="233"/>
      <c r="G33" s="15"/>
    </row>
    <row r="34" spans="1:7">
      <c r="A34" s="171" t="s">
        <v>73</v>
      </c>
      <c r="B34" s="33">
        <f>IF((($B$28-$B$32-$B$39-$B$77-$B$38)*C20/100)&lt;0,0,($B$28-$B$32-$B$39-$B$77-$B$38)*C20/100)</f>
        <v>330.93333333333334</v>
      </c>
      <c r="C34" s="167">
        <f>IF(ISERROR(B34/SUM($B$32,$B$34,$B$35,$B$36,$B$38,$B$39)*100),0,B34/SUM($B$32,$B$34,$B$35,$B$36,$B$38,$B$39)*100)</f>
        <v>6.5221390093286038</v>
      </c>
      <c r="D34" s="233"/>
      <c r="G34" s="15"/>
    </row>
    <row r="35" spans="1:7">
      <c r="A35" s="171" t="s">
        <v>74</v>
      </c>
      <c r="B35" s="33">
        <f>IF((($B$28-$B$32-$B$39-$B$77-$B$38)*C21/100)&lt;0,0,($B$28-$B$32-$B$39-$B$77-$B$38)*C21/100)</f>
        <v>646.10793650793664</v>
      </c>
      <c r="C35" s="167">
        <f>IF(ISERROR(B35/SUM($B$32,$B$34,$B$35,$B$36,$B$38,$B$39)*100),0,B35/SUM($B$32,$B$34,$B$35,$B$36,$B$38,$B$39)*100)</f>
        <v>12.733699970593943</v>
      </c>
      <c r="D35" s="233"/>
      <c r="G35" s="15"/>
    </row>
    <row r="36" spans="1:7">
      <c r="A36" s="171" t="s">
        <v>75</v>
      </c>
      <c r="B36" s="33">
        <f>IF((($B$28-$B$32-$B$39-$B$77-$B$38)*C22/100)&lt;0,0,($B$28-$B$32-$B$39-$B$77-$B$38)*C22/100)</f>
        <v>263.95873015873013</v>
      </c>
      <c r="C36" s="167">
        <f>IF(ISERROR(B36/SUM($B$32,$B$34,$B$35,$B$36,$B$38,$B$39)*100),0,B36/SUM($B$32,$B$34,$B$35,$B$36,$B$38,$B$39)*100)</f>
        <v>5.2021823050597185</v>
      </c>
      <c r="D36" s="233"/>
      <c r="G36" s="15"/>
    </row>
    <row r="37" spans="1:7">
      <c r="A37" s="171" t="s">
        <v>76</v>
      </c>
      <c r="B37" s="34" t="s">
        <v>111</v>
      </c>
      <c r="C37" s="167"/>
      <c r="D37" s="173"/>
      <c r="G37" s="15"/>
    </row>
    <row r="38" spans="1:7">
      <c r="A38" s="171" t="s">
        <v>77</v>
      </c>
      <c r="B38" s="33">
        <f>IF((B24-(B29-B18)*0.1)&lt;0,0,B24-(B29-B18)*0.1)</f>
        <v>53.8</v>
      </c>
      <c r="C38" s="167">
        <f>IF(ISERROR(B38/SUM($B$32,$B$34,$B$35,$B$36,$B$38,$B$39)*100),0,B38/SUM($B$32,$B$34,$B$35,$B$36,$B$38,$B$39)*100)</f>
        <v>1.0603074497437919</v>
      </c>
      <c r="D38" s="234"/>
      <c r="G38" s="15"/>
    </row>
    <row r="39" spans="1:7">
      <c r="A39" s="171" t="s">
        <v>78</v>
      </c>
      <c r="B39" s="33">
        <f>IF((B25-(B29-B18))&lt;0,0,B25-(B29-B18)*0.9)</f>
        <v>809.2</v>
      </c>
      <c r="C39" s="167">
        <f>IF(ISERROR(B39/SUM($B$32,$B$34,$B$35,$B$36,$B$38,$B$39)*100),0,B39/SUM($B$32,$B$34,$B$35,$B$36,$B$38,$B$39)*100)</f>
        <v>15.947970043358298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2970</v>
      </c>
      <c r="C44" s="34" t="s">
        <v>111</v>
      </c>
      <c r="D44" s="174"/>
    </row>
    <row r="45" spans="1:7">
      <c r="A45" s="171" t="s">
        <v>72</v>
      </c>
      <c r="B45" s="33" t="str">
        <f t="shared" si="0"/>
        <v>-</v>
      </c>
      <c r="C45" s="34" t="s">
        <v>111</v>
      </c>
      <c r="D45" s="174"/>
    </row>
    <row r="46" spans="1:7">
      <c r="A46" s="171" t="s">
        <v>73</v>
      </c>
      <c r="B46" s="33">
        <f t="shared" si="0"/>
        <v>330.93333333333334</v>
      </c>
      <c r="C46" s="34" t="s">
        <v>111</v>
      </c>
      <c r="D46" s="174"/>
    </row>
    <row r="47" spans="1:7">
      <c r="A47" s="171" t="s">
        <v>74</v>
      </c>
      <c r="B47" s="33">
        <f t="shared" si="0"/>
        <v>646.10793650793664</v>
      </c>
      <c r="C47" s="34" t="s">
        <v>111</v>
      </c>
      <c r="D47" s="174"/>
    </row>
    <row r="48" spans="1:7">
      <c r="A48" s="171" t="s">
        <v>75</v>
      </c>
      <c r="B48" s="33">
        <f t="shared" si="0"/>
        <v>263.95873015873013</v>
      </c>
      <c r="C48" s="33">
        <f>B48*10</f>
        <v>2639.5873015873012</v>
      </c>
      <c r="D48" s="234"/>
    </row>
    <row r="49" spans="1:6">
      <c r="A49" s="171" t="s">
        <v>76</v>
      </c>
      <c r="B49" s="33" t="str">
        <f t="shared" si="0"/>
        <v>-</v>
      </c>
      <c r="C49" s="34" t="s">
        <v>111</v>
      </c>
      <c r="D49" s="234"/>
    </row>
    <row r="50" spans="1:6">
      <c r="A50" s="171" t="s">
        <v>77</v>
      </c>
      <c r="B50" s="33">
        <f t="shared" si="0"/>
        <v>53.8</v>
      </c>
      <c r="C50" s="33">
        <f>B50*2</f>
        <v>107.6</v>
      </c>
      <c r="D50" s="234"/>
    </row>
    <row r="51" spans="1:6">
      <c r="A51" s="171" t="s">
        <v>78</v>
      </c>
      <c r="B51" s="33">
        <f t="shared" si="0"/>
        <v>809.2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13966.836076567095</v>
      </c>
      <c r="C5" s="17">
        <f>IF(ISERROR('Eigen informatie GS &amp; warmtenet'!B58),0,'Eigen informatie GS &amp; warmtenet'!B58)</f>
        <v>0</v>
      </c>
      <c r="D5" s="30">
        <f>SUM(D6:D12)</f>
        <v>15454.281255804584</v>
      </c>
      <c r="E5" s="17">
        <f>SUM(E6:E12)</f>
        <v>286.09273008840404</v>
      </c>
      <c r="F5" s="17">
        <f>SUM(F6:F12)</f>
        <v>2721.1036595564751</v>
      </c>
      <c r="G5" s="18"/>
      <c r="H5" s="17"/>
      <c r="I5" s="17"/>
      <c r="J5" s="17">
        <f>SUM(J6:J12)</f>
        <v>6.2183831195542265E-2</v>
      </c>
      <c r="K5" s="17"/>
      <c r="L5" s="17"/>
      <c r="M5" s="17"/>
      <c r="N5" s="17">
        <f>SUM(N6:N12)</f>
        <v>2456.8493873537273</v>
      </c>
      <c r="O5" s="17">
        <f>B38*B39*B40</f>
        <v>7.8166666666666664</v>
      </c>
      <c r="P5" s="17">
        <f>B46*B47*B48/1000-B46*B47*B48/1000/B49</f>
        <v>57.2</v>
      </c>
      <c r="R5" s="32"/>
    </row>
    <row r="6" spans="1:18">
      <c r="A6" s="32" t="s">
        <v>54</v>
      </c>
      <c r="B6" s="37">
        <f>B26</f>
        <v>1936.4744000000001</v>
      </c>
      <c r="C6" s="33"/>
      <c r="D6" s="37">
        <f>IF(ISERROR(TER_kantoor_gas_kWh/1000),0,TER_kantoor_gas_kWh/1000)*0.902</f>
        <v>4218.5456649882271</v>
      </c>
      <c r="E6" s="33">
        <f>$C$26*'E Balans VL '!I12/100/3.6*1000000</f>
        <v>1.2137177477904691E-2</v>
      </c>
      <c r="F6" s="33">
        <f>$C$26*('E Balans VL '!L12+'E Balans VL '!N12)/100/3.6*1000000</f>
        <v>290.99799206456532</v>
      </c>
      <c r="G6" s="34"/>
      <c r="H6" s="33"/>
      <c r="I6" s="33"/>
      <c r="J6" s="33">
        <f>$C$26*('E Balans VL '!D12+'E Balans VL '!E12)/100/3.6*1000000</f>
        <v>0</v>
      </c>
      <c r="K6" s="33"/>
      <c r="L6" s="33"/>
      <c r="M6" s="33"/>
      <c r="N6" s="33">
        <f>$C$26*'E Balans VL '!Y12/100/3.6*1000000</f>
        <v>1.8519506497611316</v>
      </c>
      <c r="O6" s="33"/>
      <c r="P6" s="33"/>
      <c r="R6" s="32"/>
    </row>
    <row r="7" spans="1:18">
      <c r="A7" s="32" t="s">
        <v>53</v>
      </c>
      <c r="B7" s="37">
        <f t="shared" ref="B7:B12" si="0">B27</f>
        <v>708.83100000000002</v>
      </c>
      <c r="C7" s="33"/>
      <c r="D7" s="37">
        <f>IF(ISERROR(TER_horeca_gas_kWh/1000),0,TER_horeca_gas_kWh/1000)*0.902</f>
        <v>5314.4053919391963</v>
      </c>
      <c r="E7" s="33">
        <f>$C$27*'E Balans VL '!I9/100/3.6*1000000</f>
        <v>10.150341851294492</v>
      </c>
      <c r="F7" s="33">
        <f>$C$27*('E Balans VL '!L9+'E Balans VL '!N9)/100/3.6*1000000</f>
        <v>89.761382747043299</v>
      </c>
      <c r="G7" s="34"/>
      <c r="H7" s="33"/>
      <c r="I7" s="33"/>
      <c r="J7" s="33">
        <f>$C$27*('E Balans VL '!D9+'E Balans VL '!E9)/100/3.6*1000000</f>
        <v>0</v>
      </c>
      <c r="K7" s="33"/>
      <c r="L7" s="33"/>
      <c r="M7" s="33"/>
      <c r="N7" s="33">
        <f>$C$27*'E Balans VL '!Y9/100/3.6*1000000</f>
        <v>0.20377328411798509</v>
      </c>
      <c r="O7" s="33"/>
      <c r="P7" s="33"/>
      <c r="R7" s="32"/>
    </row>
    <row r="8" spans="1:18">
      <c r="A8" s="6" t="s">
        <v>52</v>
      </c>
      <c r="B8" s="37">
        <f t="shared" si="0"/>
        <v>7332.4288499999993</v>
      </c>
      <c r="C8" s="33"/>
      <c r="D8" s="37">
        <f>IF(ISERROR(TER_handel_gas_kWh/1000),0,TER_handel_gas_kWh/1000)*0.902</f>
        <v>1514.2591454297415</v>
      </c>
      <c r="E8" s="33">
        <f>$C$28*'E Balans VL '!I13/100/3.6*1000000</f>
        <v>265.94629019488349</v>
      </c>
      <c r="F8" s="33">
        <f>$C$28*('E Balans VL '!L13+'E Balans VL '!N13)/100/3.6*1000000</f>
        <v>1412.3000420724918</v>
      </c>
      <c r="G8" s="34"/>
      <c r="H8" s="33"/>
      <c r="I8" s="33"/>
      <c r="J8" s="33">
        <f>$C$28*('E Balans VL '!D13+'E Balans VL '!E13)/100/3.6*1000000</f>
        <v>0</v>
      </c>
      <c r="K8" s="33"/>
      <c r="L8" s="33"/>
      <c r="M8" s="33"/>
      <c r="N8" s="33">
        <f>$C$28*'E Balans VL '!Y13/100/3.6*1000000</f>
        <v>10.157101073885237</v>
      </c>
      <c r="O8" s="33"/>
      <c r="P8" s="33"/>
      <c r="R8" s="32"/>
    </row>
    <row r="9" spans="1:18">
      <c r="A9" s="32" t="s">
        <v>51</v>
      </c>
      <c r="B9" s="37">
        <f t="shared" si="0"/>
        <v>691.28</v>
      </c>
      <c r="C9" s="33"/>
      <c r="D9" s="37">
        <f>IF(ISERROR(TER_gezond_gas_kWh/1000),0,TER_gezond_gas_kWh/1000)*0.902</f>
        <v>250.23383117282131</v>
      </c>
      <c r="E9" s="33">
        <f>$C$29*'E Balans VL '!I10/100/3.6*1000000</f>
        <v>4.3280953156964105E-2</v>
      </c>
      <c r="F9" s="33">
        <f>$C$29*('E Balans VL '!L10+'E Balans VL '!N10)/100/3.6*1000000</f>
        <v>102.69174874715448</v>
      </c>
      <c r="G9" s="34"/>
      <c r="H9" s="33"/>
      <c r="I9" s="33"/>
      <c r="J9" s="33">
        <f>$C$29*('E Balans VL '!D10+'E Balans VL '!E10)/100/3.6*1000000</f>
        <v>0</v>
      </c>
      <c r="K9" s="33"/>
      <c r="L9" s="33"/>
      <c r="M9" s="33"/>
      <c r="N9" s="33">
        <f>$C$29*'E Balans VL '!Y10/100/3.6*1000000</f>
        <v>10.692785742818232</v>
      </c>
      <c r="O9" s="33"/>
      <c r="P9" s="33"/>
      <c r="R9" s="32"/>
    </row>
    <row r="10" spans="1:18">
      <c r="A10" s="32" t="s">
        <v>50</v>
      </c>
      <c r="B10" s="37">
        <f t="shared" si="0"/>
        <v>2864.06475</v>
      </c>
      <c r="C10" s="33"/>
      <c r="D10" s="37">
        <f>IF(ISERROR(TER_ander_gas_kWh/1000),0,TER_ander_gas_kWh/1000)*0.902</f>
        <v>760.87045367411827</v>
      </c>
      <c r="E10" s="33">
        <f>$C$30*'E Balans VL '!I14/100/3.6*1000000</f>
        <v>3.4138628376189972</v>
      </c>
      <c r="F10" s="33">
        <f>$C$30*('E Balans VL '!L14+'E Balans VL '!N14)/100/3.6*1000000</f>
        <v>749.36666491817584</v>
      </c>
      <c r="G10" s="34"/>
      <c r="H10" s="33"/>
      <c r="I10" s="33"/>
      <c r="J10" s="33">
        <f>$C$30*('E Balans VL '!D14+'E Balans VL '!E14)/100/3.6*1000000</f>
        <v>6.2167618898674622E-2</v>
      </c>
      <c r="K10" s="33"/>
      <c r="L10" s="33"/>
      <c r="M10" s="33"/>
      <c r="N10" s="33">
        <f>$C$30*'E Balans VL '!Y14/100/3.6*1000000</f>
        <v>2432.0937030220512</v>
      </c>
      <c r="O10" s="33"/>
      <c r="P10" s="33"/>
      <c r="R10" s="32"/>
    </row>
    <row r="11" spans="1:18">
      <c r="A11" s="32" t="s">
        <v>55</v>
      </c>
      <c r="B11" s="37">
        <f t="shared" si="0"/>
        <v>427.06200000000001</v>
      </c>
      <c r="C11" s="33"/>
      <c r="D11" s="37">
        <f>IF(ISERROR(TER_onderwijs_gas_kWh/1000),0,TER_onderwijs_gas_kWh/1000)*0.902</f>
        <v>220.72725608181494</v>
      </c>
      <c r="E11" s="33">
        <f>$C$31*'E Balans VL '!I11/100/3.6*1000000</f>
        <v>6.4436777312416744</v>
      </c>
      <c r="F11" s="33">
        <f>$C$31*('E Balans VL '!L11+'E Balans VL '!N11)/100/3.6*1000000</f>
        <v>74.828084918417659</v>
      </c>
      <c r="G11" s="34"/>
      <c r="H11" s="33"/>
      <c r="I11" s="33"/>
      <c r="J11" s="33">
        <f>$C$31*('E Balans VL '!D11+'E Balans VL '!E11)/100/3.6*1000000</f>
        <v>0</v>
      </c>
      <c r="K11" s="33"/>
      <c r="L11" s="33"/>
      <c r="M11" s="33"/>
      <c r="N11" s="33">
        <f>$C$31*'E Balans VL '!Y11/100/3.6*1000000</f>
        <v>1.2017849344896252</v>
      </c>
      <c r="O11" s="33"/>
      <c r="P11" s="33"/>
      <c r="R11" s="32"/>
    </row>
    <row r="12" spans="1:18">
      <c r="A12" s="32" t="s">
        <v>260</v>
      </c>
      <c r="B12" s="37">
        <f t="shared" si="0"/>
        <v>6.6950765670950005</v>
      </c>
      <c r="C12" s="33"/>
      <c r="D12" s="37">
        <f>IF(ISERROR(TER_rest_gas_kWh/1000),0,TER_rest_gas_kWh/1000)*0.902</f>
        <v>3175.2395125186622</v>
      </c>
      <c r="E12" s="33">
        <f>$C$32*'E Balans VL '!I8/100/3.6*1000000</f>
        <v>8.3139342730512503E-2</v>
      </c>
      <c r="F12" s="33">
        <f>$C$32*('E Balans VL '!L8+'E Balans VL '!N8)/100/3.6*1000000</f>
        <v>1.1577440886270345</v>
      </c>
      <c r="G12" s="34"/>
      <c r="H12" s="33"/>
      <c r="I12" s="33"/>
      <c r="J12" s="33">
        <f>$C$32*('E Balans VL '!D8+'E Balans VL '!E8)/100/3.6*1000000</f>
        <v>1.6212296867641733E-5</v>
      </c>
      <c r="K12" s="33"/>
      <c r="L12" s="33"/>
      <c r="M12" s="33"/>
      <c r="N12" s="33">
        <f>$C$32*'E Balans VL '!Y8/100/3.6*1000000</f>
        <v>0.64828864660360985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13966.836076567095</v>
      </c>
      <c r="C16" s="21">
        <f t="shared" ca="1" si="1"/>
        <v>0</v>
      </c>
      <c r="D16" s="21">
        <f t="shared" ca="1" si="1"/>
        <v>15454.281255804584</v>
      </c>
      <c r="E16" s="21">
        <f t="shared" si="1"/>
        <v>286.09273008840404</v>
      </c>
      <c r="F16" s="21">
        <f t="shared" ca="1" si="1"/>
        <v>2721.1036595564751</v>
      </c>
      <c r="G16" s="21">
        <f t="shared" si="1"/>
        <v>0</v>
      </c>
      <c r="H16" s="21">
        <f t="shared" si="1"/>
        <v>0</v>
      </c>
      <c r="I16" s="21">
        <f t="shared" si="1"/>
        <v>0</v>
      </c>
      <c r="J16" s="21">
        <f t="shared" si="1"/>
        <v>6.2183831195542265E-2</v>
      </c>
      <c r="K16" s="21">
        <f t="shared" si="1"/>
        <v>0</v>
      </c>
      <c r="L16" s="21">
        <f t="shared" ca="1" si="1"/>
        <v>0</v>
      </c>
      <c r="M16" s="21">
        <f t="shared" si="1"/>
        <v>0</v>
      </c>
      <c r="N16" s="21">
        <f t="shared" ca="1" si="1"/>
        <v>2456.8493873537273</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0.20456803834762527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2857.1682581061737</v>
      </c>
      <c r="C20" s="23">
        <f t="shared" ref="C20:P20" ca="1" si="2">C16*C18</f>
        <v>0</v>
      </c>
      <c r="D20" s="23">
        <f t="shared" ca="1" si="2"/>
        <v>3121.7648136725261</v>
      </c>
      <c r="E20" s="23">
        <f t="shared" si="2"/>
        <v>64.943049730067713</v>
      </c>
      <c r="F20" s="23">
        <f t="shared" ca="1" si="2"/>
        <v>726.53467710157895</v>
      </c>
      <c r="G20" s="23">
        <f t="shared" si="2"/>
        <v>0</v>
      </c>
      <c r="H20" s="23">
        <f t="shared" si="2"/>
        <v>0</v>
      </c>
      <c r="I20" s="23">
        <f t="shared" si="2"/>
        <v>0</v>
      </c>
      <c r="J20" s="23">
        <f t="shared" si="2"/>
        <v>2.2013076243221959E-2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1936.4744000000001</v>
      </c>
      <c r="C26" s="39">
        <f>IF(ISERROR(B26*3.6/1000000/'E Balans VL '!Z12*100),0,B26*3.6/1000000/'E Balans VL '!Z12*100)</f>
        <v>4.0934001192762921E-2</v>
      </c>
      <c r="D26" s="237" t="s">
        <v>754</v>
      </c>
      <c r="F26" s="6"/>
    </row>
    <row r="27" spans="1:18">
      <c r="A27" s="231" t="s">
        <v>53</v>
      </c>
      <c r="B27" s="33">
        <f>IF(ISERROR(TER_horeca_ele_kWh/1000),0,TER_horeca_ele_kWh/1000)</f>
        <v>708.83100000000002</v>
      </c>
      <c r="C27" s="39">
        <f>IF(ISERROR(B27*3.6/1000000/'E Balans VL '!Z9*100),0,B27*3.6/1000000/'E Balans VL '!Z9*100)</f>
        <v>5.5876883535198665E-2</v>
      </c>
      <c r="D27" s="237" t="s">
        <v>754</v>
      </c>
      <c r="F27" s="6"/>
    </row>
    <row r="28" spans="1:18">
      <c r="A28" s="171" t="s">
        <v>52</v>
      </c>
      <c r="B28" s="33">
        <f>IF(ISERROR(TER_handel_ele_kWh/1000),0,TER_handel_ele_kWh/1000)</f>
        <v>7332.4288499999993</v>
      </c>
      <c r="C28" s="39">
        <f>IF(ISERROR(B28*3.6/1000000/'E Balans VL '!Z13*100),0,B28*3.6/1000000/'E Balans VL '!Z13*100)</f>
        <v>0.21281671155936538</v>
      </c>
      <c r="D28" s="237" t="s">
        <v>754</v>
      </c>
      <c r="F28" s="6"/>
    </row>
    <row r="29" spans="1:18">
      <c r="A29" s="231" t="s">
        <v>51</v>
      </c>
      <c r="B29" s="33">
        <f>IF(ISERROR(TER_gezond_ele_kWh/1000),0,TER_gezond_ele_kWh/1000)</f>
        <v>691.28</v>
      </c>
      <c r="C29" s="39">
        <f>IF(ISERROR(B29*3.6/1000000/'E Balans VL '!Z10*100),0,B29*3.6/1000000/'E Balans VL '!Z10*100)</f>
        <v>7.2803135117225623E-2</v>
      </c>
      <c r="D29" s="237" t="s">
        <v>754</v>
      </c>
      <c r="F29" s="6"/>
    </row>
    <row r="30" spans="1:18">
      <c r="A30" s="231" t="s">
        <v>50</v>
      </c>
      <c r="B30" s="33">
        <f>IF(ISERROR(TER_ander_ele_kWh/1000),0,TER_ander_ele_kWh/1000)</f>
        <v>2864.06475</v>
      </c>
      <c r="C30" s="39">
        <f>IF(ISERROR(B30*3.6/1000000/'E Balans VL '!Z14*100),0,B30*3.6/1000000/'E Balans VL '!Z14*100)</f>
        <v>0.21125403803176931</v>
      </c>
      <c r="D30" s="237" t="s">
        <v>754</v>
      </c>
      <c r="F30" s="6"/>
    </row>
    <row r="31" spans="1:18">
      <c r="A31" s="231" t="s">
        <v>55</v>
      </c>
      <c r="B31" s="33">
        <f>IF(ISERROR(TER_onderwijs_ele_kWh/1000),0,TER_onderwijs_ele_kWh/1000)</f>
        <v>427.06200000000001</v>
      </c>
      <c r="C31" s="39">
        <f>IF(ISERROR(B31*3.6/1000000/'E Balans VL '!Z11*100),0,B31*3.6/1000000/'E Balans VL '!Z11*100)</f>
        <v>0.10605949936220167</v>
      </c>
      <c r="D31" s="237" t="s">
        <v>754</v>
      </c>
    </row>
    <row r="32" spans="1:18">
      <c r="A32" s="231" t="s">
        <v>260</v>
      </c>
      <c r="B32" s="33">
        <f>IF(ISERROR(TER_rest_ele_kWh/1000),0,TER_rest_ele_kWh/1000)</f>
        <v>6.6950765670950005</v>
      </c>
      <c r="C32" s="39">
        <f>IF(ISERROR(B32*3.6/1000000/'E Balans VL '!Z8*100),0,B32*3.6/1000000/'E Balans VL '!Z8*100)</f>
        <v>5.5091593336416801E-5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34482.645299999996</v>
      </c>
      <c r="C5" s="17">
        <f>IF(ISERROR('Eigen informatie GS &amp; warmtenet'!B59),0,'Eigen informatie GS &amp; warmtenet'!B59)</f>
        <v>0</v>
      </c>
      <c r="D5" s="30">
        <f>SUM(D6:D15)</f>
        <v>165977.60636324788</v>
      </c>
      <c r="E5" s="17">
        <f>SUM(E6:E15)</f>
        <v>1085.595341080716</v>
      </c>
      <c r="F5" s="17">
        <f>SUM(F6:F15)</f>
        <v>6580.1658056274691</v>
      </c>
      <c r="G5" s="18"/>
      <c r="H5" s="17"/>
      <c r="I5" s="17"/>
      <c r="J5" s="17">
        <f>SUM(J6:J15)</f>
        <v>14.092417094500515</v>
      </c>
      <c r="K5" s="17"/>
      <c r="L5" s="17"/>
      <c r="M5" s="17"/>
      <c r="N5" s="17">
        <f>SUM(N6:N15)</f>
        <v>5691.8864876400976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1540.7560000000001</v>
      </c>
      <c r="C8" s="33"/>
      <c r="D8" s="37">
        <f>IF( ISERROR(IND_metaal_Gas_kWH/1000),0,IND_metaal_Gas_kWH/1000)*0.902</f>
        <v>153.96800224620222</v>
      </c>
      <c r="E8" s="33">
        <f>C30*'E Balans VL '!I18/100/3.6*1000000</f>
        <v>14.165763343703555</v>
      </c>
      <c r="F8" s="33">
        <f>C30*'E Balans VL '!L18/100/3.6*1000000+C30*'E Balans VL '!N18/100/3.6*1000000</f>
        <v>144.47161584024659</v>
      </c>
      <c r="G8" s="34"/>
      <c r="H8" s="33"/>
      <c r="I8" s="33"/>
      <c r="J8" s="40">
        <f>C30*'E Balans VL '!D18/100/3.6*1000000+C30*'E Balans VL '!E18/100/3.6*1000000</f>
        <v>0</v>
      </c>
      <c r="K8" s="33"/>
      <c r="L8" s="33"/>
      <c r="M8" s="33"/>
      <c r="N8" s="33">
        <f>C30*'E Balans VL '!Y18/100/3.6*1000000</f>
        <v>21.98143054651343</v>
      </c>
      <c r="O8" s="33"/>
      <c r="P8" s="33"/>
      <c r="R8" s="32"/>
    </row>
    <row r="9" spans="1:18">
      <c r="A9" s="6" t="s">
        <v>33</v>
      </c>
      <c r="B9" s="37">
        <f t="shared" si="0"/>
        <v>2663.3862999999997</v>
      </c>
      <c r="C9" s="33"/>
      <c r="D9" s="37">
        <f>IF( ISERROR(IND_andere_gas_kWh/1000),0,IND_andere_gas_kWh/1000)*0.902</f>
        <v>1282.5041621795961</v>
      </c>
      <c r="E9" s="33">
        <f>C31*'E Balans VL '!I19/100/3.6*1000000</f>
        <v>778.55966550558685</v>
      </c>
      <c r="F9" s="33">
        <f>C31*'E Balans VL '!L19/100/3.6*1000000+C31*'E Balans VL '!N19/100/3.6*1000000</f>
        <v>2140.2324918687245</v>
      </c>
      <c r="G9" s="34"/>
      <c r="H9" s="33"/>
      <c r="I9" s="33"/>
      <c r="J9" s="40">
        <f>C31*'E Balans VL '!D19/100/3.6*1000000+C31*'E Balans VL '!E19/100/3.6*1000000</f>
        <v>0</v>
      </c>
      <c r="K9" s="33"/>
      <c r="L9" s="33"/>
      <c r="M9" s="33"/>
      <c r="N9" s="33">
        <f>C31*'E Balans VL '!Y19/100/3.6*1000000</f>
        <v>880.02413971290127</v>
      </c>
      <c r="O9" s="33"/>
      <c r="P9" s="33"/>
      <c r="R9" s="32"/>
    </row>
    <row r="10" spans="1:18">
      <c r="A10" s="6" t="s">
        <v>41</v>
      </c>
      <c r="B10" s="37">
        <f t="shared" si="0"/>
        <v>21248.925999999999</v>
      </c>
      <c r="C10" s="33"/>
      <c r="D10" s="37">
        <f>IF( ISERROR(IND_voed_gas_kWh/1000),0,IND_voed_gas_kWh/1000)*0.902</f>
        <v>557.23229877984886</v>
      </c>
      <c r="E10" s="33">
        <f>C32*'E Balans VL '!I20/100/3.6*1000000</f>
        <v>44.952432421499807</v>
      </c>
      <c r="F10" s="33">
        <f>C32*'E Balans VL '!L20/100/3.6*1000000+C32*'E Balans VL '!N20/100/3.6*1000000</f>
        <v>1351.0284202214154</v>
      </c>
      <c r="G10" s="34"/>
      <c r="H10" s="33"/>
      <c r="I10" s="33"/>
      <c r="J10" s="40">
        <f>C32*'E Balans VL '!D20/100/3.6*1000000+C32*'E Balans VL '!E20/100/3.6*1000000</f>
        <v>0</v>
      </c>
      <c r="K10" s="33"/>
      <c r="L10" s="33"/>
      <c r="M10" s="33"/>
      <c r="N10" s="33">
        <f>C32*'E Balans VL '!Y20/100/3.6*1000000</f>
        <v>1466.3855835254437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8528.5169999999998</v>
      </c>
      <c r="C12" s="33"/>
      <c r="D12" s="37">
        <f>IF( ISERROR(IND_min_gas_kWh/1000),0,IND_min_gas_kWh/1000)*0.902</f>
        <v>0</v>
      </c>
      <c r="E12" s="33">
        <f>C34*'E Balans VL '!I22/100/3.6*1000000</f>
        <v>247.20659026145819</v>
      </c>
      <c r="F12" s="33">
        <f>C34*'E Balans VL '!L22/100/3.6*1000000+C34*'E Balans VL '!N22/100/3.6*1000000</f>
        <v>2932.2005189900055</v>
      </c>
      <c r="G12" s="34"/>
      <c r="H12" s="33"/>
      <c r="I12" s="33"/>
      <c r="J12" s="40">
        <f>C34*'E Balans VL '!D22/100/3.6*1000000+C34*'E Balans VL '!E22/100/3.6*1000000</f>
        <v>14.014923461262571</v>
      </c>
      <c r="K12" s="33"/>
      <c r="L12" s="33"/>
      <c r="M12" s="33"/>
      <c r="N12" s="33">
        <f>C34*'E Balans VL '!Y22/100/3.6*1000000</f>
        <v>1867.0325229040866</v>
      </c>
      <c r="O12" s="33"/>
      <c r="P12" s="33"/>
      <c r="R12" s="32"/>
    </row>
    <row r="13" spans="1:18">
      <c r="A13" s="6" t="s">
        <v>39</v>
      </c>
      <c r="B13" s="37">
        <f t="shared" si="0"/>
        <v>501.06</v>
      </c>
      <c r="C13" s="33"/>
      <c r="D13" s="37">
        <f>IF( ISERROR(IND_papier_gas_kWh/1000),0,IND_papier_gas_kWh/1000)*0.902</f>
        <v>0</v>
      </c>
      <c r="E13" s="33">
        <f>C35*'E Balans VL '!I23/100/3.6*1000000</f>
        <v>0.7108895484675718</v>
      </c>
      <c r="F13" s="33">
        <f>C35*'E Balans VL '!L23/100/3.6*1000000+C35*'E Balans VL '!N23/100/3.6*1000000</f>
        <v>12.232758707076691</v>
      </c>
      <c r="G13" s="34"/>
      <c r="H13" s="33"/>
      <c r="I13" s="33"/>
      <c r="J13" s="40">
        <f>C35*'E Balans VL '!D23/100/3.6*1000000+C35*'E Balans VL '!E23/100/3.6*1000000</f>
        <v>7.7493633237944282E-2</v>
      </c>
      <c r="K13" s="33"/>
      <c r="L13" s="33"/>
      <c r="M13" s="33"/>
      <c r="N13" s="33">
        <f>C35*'E Balans VL '!Y23/100/3.6*1000000</f>
        <v>1456.4628109511525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163983.90190004223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34482.645299999996</v>
      </c>
      <c r="C18" s="21">
        <f>C5+C16</f>
        <v>0</v>
      </c>
      <c r="D18" s="21">
        <f>MAX((D5+D16),0)</f>
        <v>165977.60636324788</v>
      </c>
      <c r="E18" s="21">
        <f>MAX((E5+E16),0)</f>
        <v>1085.595341080716</v>
      </c>
      <c r="F18" s="21">
        <f>MAX((F5+F16),0)</f>
        <v>6580.1658056274691</v>
      </c>
      <c r="G18" s="21"/>
      <c r="H18" s="21"/>
      <c r="I18" s="21"/>
      <c r="J18" s="21">
        <f>MAX((J5+J16),0)</f>
        <v>14.092417094500515</v>
      </c>
      <c r="K18" s="21"/>
      <c r="L18" s="21">
        <f>MAX((L5+L16),0)</f>
        <v>0</v>
      </c>
      <c r="M18" s="21"/>
      <c r="N18" s="21">
        <f>MAX((N5+N16),0)</f>
        <v>5691.8864876400976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0.20456803834762527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7054.0471060579594</v>
      </c>
      <c r="C22" s="23">
        <f ca="1">C18*C20</f>
        <v>0</v>
      </c>
      <c r="D22" s="23">
        <f>D18*D20</f>
        <v>33527.476485376072</v>
      </c>
      <c r="E22" s="23">
        <f>E18*E20</f>
        <v>246.43014242532254</v>
      </c>
      <c r="F22" s="23">
        <f>F18*F20</f>
        <v>1756.9042701025344</v>
      </c>
      <c r="G22" s="23"/>
      <c r="H22" s="23"/>
      <c r="I22" s="23"/>
      <c r="J22" s="23">
        <f>J18*J20</f>
        <v>4.9887156514531821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1540.7560000000001</v>
      </c>
      <c r="C30" s="39">
        <f>IF(ISERROR(B30*3.6/1000000/'E Balans VL '!Z18*100),0,B30*3.6/1000000/'E Balans VL '!Z18*100)</f>
        <v>8.7318593276782638E-2</v>
      </c>
      <c r="D30" s="237" t="s">
        <v>754</v>
      </c>
    </row>
    <row r="31" spans="1:18">
      <c r="A31" s="6" t="s">
        <v>33</v>
      </c>
      <c r="B31" s="37">
        <f>IF( ISERROR(IND_ander_ele_kWh/1000),0,IND_ander_ele_kWh/1000)</f>
        <v>2663.3862999999997</v>
      </c>
      <c r="C31" s="39">
        <f>IF(ISERROR(B31*3.6/1000000/'E Balans VL '!Z19*100),0,B31*3.6/1000000/'E Balans VL '!Z19*100)</f>
        <v>0.12080011242046741</v>
      </c>
      <c r="D31" s="237" t="s">
        <v>754</v>
      </c>
    </row>
    <row r="32" spans="1:18">
      <c r="A32" s="171" t="s">
        <v>41</v>
      </c>
      <c r="B32" s="37">
        <f>IF( ISERROR(IND_voed_ele_kWh/1000),0,IND_voed_ele_kWh/1000)</f>
        <v>21248.925999999999</v>
      </c>
      <c r="C32" s="39">
        <f>IF(ISERROR(B32*3.6/1000000/'E Balans VL '!Z20*100),0,B32*3.6/1000000/'E Balans VL '!Z20*100)</f>
        <v>0.6573257431592251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8528.5169999999998</v>
      </c>
      <c r="C34" s="39">
        <f>IF(ISERROR(B34*3.6/1000000/'E Balans VL '!Z22*100),0,B34*3.6/1000000/'E Balans VL '!Z22*100)</f>
        <v>1.5340141216340977</v>
      </c>
      <c r="D34" s="237" t="s">
        <v>754</v>
      </c>
    </row>
    <row r="35" spans="1:5">
      <c r="A35" s="171" t="s">
        <v>39</v>
      </c>
      <c r="B35" s="37">
        <f>IF( ISERROR(IND_papier_ele_kWh/1000),0,IND_papier_ele_kWh/1000)</f>
        <v>501.06</v>
      </c>
      <c r="C35" s="39">
        <f>IF(ISERROR(B35*3.6/1000000/'E Balans VL '!Z22*100),0,B35*3.6/1000000/'E Balans VL '!Z22*100)</f>
        <v>9.0125061108042692E-2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4690.7469724871344</v>
      </c>
      <c r="C5" s="17">
        <f>'Eigen informatie GS &amp; warmtenet'!B60</f>
        <v>0</v>
      </c>
      <c r="D5" s="30">
        <f>IF(ISERROR(SUM(LB_lb_gas_kWh,LB_rest_gas_kWh,onbekend_gas_kWh)/1000),0,SUM(LB_lb_gas_kWh,LB_rest_gas_kWh,onbekend_gas_kWh)/1000)*0.902</f>
        <v>1707.3318783821046</v>
      </c>
      <c r="E5" s="17">
        <f>B17*'E Balans VL '!I25/3.6*1000000/100</f>
        <v>137.87538071631715</v>
      </c>
      <c r="F5" s="17">
        <f>B17*('E Balans VL '!L25/3.6*1000000+'E Balans VL '!N25/3.6*1000000)/100</f>
        <v>19541.3984127193</v>
      </c>
      <c r="G5" s="18"/>
      <c r="H5" s="17"/>
      <c r="I5" s="17"/>
      <c r="J5" s="17">
        <f>('E Balans VL '!D25+'E Balans VL '!E25)/3.6*1000000*landbouw!B17/100</f>
        <v>679.58850136905005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4690.7469724871344</v>
      </c>
      <c r="C8" s="21">
        <f>C5+C6</f>
        <v>0</v>
      </c>
      <c r="D8" s="21">
        <f>MAX((D5+D6),0)</f>
        <v>1707.3318783821046</v>
      </c>
      <c r="E8" s="21">
        <f>MAX((E5+E6),0)</f>
        <v>137.87538071631715</v>
      </c>
      <c r="F8" s="21">
        <f>MAX((F5+F6),0)</f>
        <v>19541.3984127193</v>
      </c>
      <c r="G8" s="21"/>
      <c r="H8" s="21"/>
      <c r="I8" s="21"/>
      <c r="J8" s="21">
        <f>MAX((J5+J6),0)</f>
        <v>679.58850136905005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0.20456803834762527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959.57690654675525</v>
      </c>
      <c r="C12" s="23">
        <f ca="1">C8*C10</f>
        <v>0</v>
      </c>
      <c r="D12" s="23">
        <f>D8*D10</f>
        <v>344.88103943318515</v>
      </c>
      <c r="E12" s="23">
        <f>E8*E10</f>
        <v>31.297711422603996</v>
      </c>
      <c r="F12" s="23">
        <f>F8*F10</f>
        <v>5217.5533761960533</v>
      </c>
      <c r="G12" s="23"/>
      <c r="H12" s="23"/>
      <c r="I12" s="23"/>
      <c r="J12" s="23">
        <f>J8*J10</f>
        <v>240.5743294846437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0.6656317121657348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667.17472784274366</v>
      </c>
      <c r="C26" s="247">
        <f>B26*'GWP N2O_CH4'!B5</f>
        <v>14010.669284697617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555.30751338834568</v>
      </c>
      <c r="C27" s="247">
        <f>B27*'GWP N2O_CH4'!B5</f>
        <v>11661.457781155259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10.432673152879865</v>
      </c>
      <c r="C28" s="247">
        <f>B28*'GWP N2O_CH4'!B4</f>
        <v>3234.1286773927582</v>
      </c>
      <c r="D28" s="50"/>
    </row>
    <row r="29" spans="1:4">
      <c r="A29" s="41" t="s">
        <v>277</v>
      </c>
      <c r="B29" s="247">
        <f>B34*'ha_N2O bodem landbouw'!B4</f>
        <v>26.294970516055301</v>
      </c>
      <c r="C29" s="247">
        <f>B29*'GWP N2O_CH4'!B4</f>
        <v>8151.4408599771432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6.0004216552641577E-3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9.9905594770345293E-5</v>
      </c>
      <c r="C5" s="463" t="s">
        <v>211</v>
      </c>
      <c r="D5" s="448">
        <f>SUM(D6:D11)</f>
        <v>4.2449036927027779E-4</v>
      </c>
      <c r="E5" s="448">
        <f>SUM(E6:E11)</f>
        <v>5.5111880074699873E-4</v>
      </c>
      <c r="F5" s="461" t="s">
        <v>211</v>
      </c>
      <c r="G5" s="448">
        <f>SUM(G6:G11)</f>
        <v>0.20449917582070562</v>
      </c>
      <c r="H5" s="448">
        <f>SUM(H6:H11)</f>
        <v>4.7377208286502048E-2</v>
      </c>
      <c r="I5" s="463" t="s">
        <v>211</v>
      </c>
      <c r="J5" s="463" t="s">
        <v>211</v>
      </c>
      <c r="K5" s="463" t="s">
        <v>211</v>
      </c>
      <c r="L5" s="463" t="s">
        <v>211</v>
      </c>
      <c r="M5" s="448">
        <f>SUM(M6:M11)</f>
        <v>1.3354094857184272E-2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4.6412443733062171E-5</v>
      </c>
      <c r="C6" s="449"/>
      <c r="D6" s="962">
        <f>vkm_2011_GW_PW*SUMIFS(TableVerdeelsleutelVkm[CNG],TableVerdeelsleutelVkm[Voertuigtype],"Lichte voertuigen")*SUMIFS(TableECFTransport[EnergieConsumptieFactor (PJ per km)],TableECFTransport[Index],CONCATENATE($A6,"_CNG_CNG"))</f>
        <v>1.3921069287953157E-4</v>
      </c>
      <c r="E6" s="962">
        <f>vkm_2011_GW_PW*SUMIFS(TableVerdeelsleutelVkm[LPG],TableVerdeelsleutelVkm[Voertuigtype],"Lichte voertuigen")*SUMIFS(TableECFTransport[EnergieConsumptieFactor (PJ per km)],TableECFTransport[Index],CONCATENATE($A6,"_LPG_LPG"))</f>
        <v>1.9018180310399323E-4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4.9172296213336159E-2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1.5830845083154323E-2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3.3427253903162155E-3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3.4587726337161027E-2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1.0539792362722536E-5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2.0211918785773401E-3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5.3493151037283128E-5</v>
      </c>
      <c r="C8" s="449"/>
      <c r="D8" s="451">
        <f>vkm_2011_NGW_PW*SUMIFS(TableVerdeelsleutelVkm[CNG],TableVerdeelsleutelVkm[Voertuigtype],"Lichte voertuigen")*SUMIFS(TableECFTransport[EnergieConsumptieFactor (PJ per km)],TableECFTransport[Index],CONCATENATE($A8,"_CNG_CNG"))</f>
        <v>2.8527967639074619E-4</v>
      </c>
      <c r="E8" s="451">
        <f>vkm_2011_NGW_PW*SUMIFS(TableVerdeelsleutelVkm[LPG],TableVerdeelsleutelVkm[Voertuigtype],"Lichte voertuigen")*SUMIFS(TableECFTransport[EnergieConsumptieFactor (PJ per km)],TableECFTransport[Index],CONCATENATE($A8,"_LPG_LPG"))</f>
        <v>3.6093699764300549E-4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8.6966007921076408E-2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3.152613478921501E-2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6.016605007370804E-3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3.3773145349132033E-2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9.6886217699906605E-6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1.9735725809199123E-3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27.751554102873694</v>
      </c>
      <c r="C14" s="21"/>
      <c r="D14" s="21">
        <f t="shared" ref="D14:M14" si="0">((D5)*10^9/3600)+D12</f>
        <v>117.91399146396606</v>
      </c>
      <c r="E14" s="21">
        <f t="shared" si="0"/>
        <v>153.08855576305521</v>
      </c>
      <c r="F14" s="21"/>
      <c r="G14" s="21">
        <f t="shared" si="0"/>
        <v>56805.326616862672</v>
      </c>
      <c r="H14" s="21">
        <f t="shared" si="0"/>
        <v>13160.335635139458</v>
      </c>
      <c r="I14" s="21"/>
      <c r="J14" s="21"/>
      <c r="K14" s="21"/>
      <c r="L14" s="21"/>
      <c r="M14" s="21">
        <f t="shared" si="0"/>
        <v>3709.4707936622976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0.20456803834762527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5.6770809839228633</v>
      </c>
      <c r="C18" s="23"/>
      <c r="D18" s="23">
        <f t="shared" ref="D18:M18" si="1">D14*D16</f>
        <v>23.818626275721144</v>
      </c>
      <c r="E18" s="23">
        <f t="shared" si="1"/>
        <v>34.751102158213534</v>
      </c>
      <c r="F18" s="23"/>
      <c r="G18" s="23">
        <f t="shared" si="1"/>
        <v>15167.022206702335</v>
      </c>
      <c r="H18" s="23">
        <f t="shared" si="1"/>
        <v>3276.9235731497251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1.9029187930668747E-3</v>
      </c>
      <c r="H50" s="321">
        <f t="shared" si="2"/>
        <v>0</v>
      </c>
      <c r="I50" s="321">
        <f t="shared" si="2"/>
        <v>0</v>
      </c>
      <c r="J50" s="321">
        <f t="shared" si="2"/>
        <v>0</v>
      </c>
      <c r="K50" s="321">
        <f t="shared" si="2"/>
        <v>0</v>
      </c>
      <c r="L50" s="321">
        <f t="shared" si="2"/>
        <v>0</v>
      </c>
      <c r="M50" s="321">
        <f t="shared" si="2"/>
        <v>1.0807738686583287E-4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1.9029187930668747E-3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1.0807738686583287E-4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528.58855362968745</v>
      </c>
      <c r="H54" s="21">
        <f t="shared" si="3"/>
        <v>0</v>
      </c>
      <c r="I54" s="21">
        <f t="shared" si="3"/>
        <v>0</v>
      </c>
      <c r="J54" s="21">
        <f t="shared" si="3"/>
        <v>0</v>
      </c>
      <c r="K54" s="21">
        <f t="shared" si="3"/>
        <v>0</v>
      </c>
      <c r="L54" s="21">
        <f t="shared" si="3"/>
        <v>0</v>
      </c>
      <c r="M54" s="21">
        <f t="shared" si="3"/>
        <v>30.021496351620243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0.20456803834762527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141.13314381912656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5581.6314985024364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5581.6314985024364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2018-09-06T12:47:34Z</dcterms:modified>
</cp:coreProperties>
</file>