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<sst xmlns="http://schemas.openxmlformats.org/spreadsheetml/2006/main" count="1914" uniqueCount="809">
  <si>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</si>
  <si>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</si>
  <si>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</si>
  <si>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</si>
  <si>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</si>
  <si>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</si>
  <si>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</si>
  <si>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</si>
  <si>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</si>
  <si>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</si>
  <si>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</si>
  <si>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</si>
  <si>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</si>
  <si>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</si>
  <si>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</si>
  <si>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</si>
  <si>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</si>
  <si>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</si>
  <si>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</si>
  <si>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</si>
  <si>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</si>
  <si>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</si>
  <si>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</si>
  <si>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</si>
  <si>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</si>
  <si>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</si>
  <si>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</si>
  <si>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</si>
  <si>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</si>
  <si>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</si>
  <si>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</si>
  <si>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</si>
  <si>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</si>
  <si>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</si>
  <si>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</si>
  <si>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</si>
  <si>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</si>
  <si>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</si>
  <si>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</si>
  <si>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</si>
  <si>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</si>
  <si>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</si>
  <si>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</si>
  <si>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</si>
  <si>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</si>
  <si>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</si>
  <si>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</si>
  <si>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</si>
  <si>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</si>
  <si>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</si>
  <si>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</si>
  <si>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</si>
  <si>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</si>
  <si>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</si>
  <si>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</si>
  <si>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</si>
  <si>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</si>
  <si>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</si>
  <si>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</si>
  <si>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</si>
  <si>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</si>
  <si>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</si>
  <si>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</si>
  <si>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</si>
  <si>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</si>
  <si>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</si>
  <si>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</si>
  <si>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</si>
  <si>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</si>
  <si>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</si>
  <si>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</si>
  <si>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</si>
  <si>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</si>
  <si>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</si>
  <si>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</si>
  <si>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</si>
  <si>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</si>
  <si>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</si>
  <si>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</si>
  <si>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</si>
  <si>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</si>
  <si>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</si>
  <si>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</si>
  <si>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</si>
  <si>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</si>
  <si>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</si>
  <si>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</si>
  <si>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</si>
  <si>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</si>
  <si>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</si>
  <si>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</si>
  <si>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</si>
  <si>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</si>
  <si>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</si>
  <si>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</si>
  <si>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</si>
  <si>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</si>
  <si>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</si>
  <si>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</si>
  <si>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</si>
  <si>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</si>
  <si>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</si>
  <si>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</si>
  <si>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</si>
  <si>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</si>
  <si>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</si>
  <si>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</si>
  <si>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</si>
  <si>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</si>
  <si>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</si>
  <si>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</si>
  <si>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</si>
  <si>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</si>
  <si>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</si>
  <si>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</si>
  <si>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</si>
  <si>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</si>
  <si>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</si>
  <si>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</si>
  <si>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</si>
  <si>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</si>
  <si>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</si>
  <si>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</si>
  <si>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</si>
  <si>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</si>
  <si>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</si>
  <si>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</si>
  <si>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</si>
  <si>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</si>
  <si>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</si>
  <si>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</si>
  <si>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</si>
  <si>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</si>
  <si>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</si>
  <si>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</si>
  <si>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</si>
  <si>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</si>
  <si>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</si>
  <si>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</si>
  <si>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</si>
  <si>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</si>
  <si>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</si>
  <si>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</si>
  <si>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</si>
  <si>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</si>
  <si>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</si>
  <si>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</si>
  <si>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</si>
  <si>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</si>
  <si>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</si>
  <si>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</si>
  <si>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</si>
  <si>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</si>
  <si>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</si>
  <si>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</si>
  <si>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</si>
  <si>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</si>
  <si>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</si>
  <si>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</si>
  <si>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</si>
  <si>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</si>
  <si>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</si>
  <si>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</si>
  <si>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</si>
  <si>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</si>
  <si>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</si>
  <si>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</si>
  <si>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</si>
  <si>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</si>
  <si>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</si>
  <si>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</si>
  <si>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</si>
  <si>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</si>
  <si>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</si>
  <si>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</si>
  <si>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</si>
  <si>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</si>
  <si>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</si>
  <si>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</si>
  <si>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</si>
  <si>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</si>
  <si>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</si>
  <si>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</si>
  <si>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</si>
  <si>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</si>
  <si>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</si>
  <si>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</si>
  <si>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</si>
  <si>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</si>
  <si>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</si>
  <si>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</si>
  <si>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</si>
  <si>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</si>
  <si>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</si>
  <si>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</si>
  <si>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</si>
  <si>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</si>
  <si>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</si>
  <si>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</si>
  <si>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</si>
  <si>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</si>
  <si>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</si>
  <si>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</si>
  <si>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</si>
  <si>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</si>
  <si>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</si>
  <si>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</si>
  <si>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</si>
  <si>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</si>
  <si>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</si>
  <si>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</si>
  <si>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</si>
  <si>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</si>
  <si>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</si>
  <si>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</si>
  <si>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</si>
  <si>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</si>
  <si>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</si>
  <si>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</si>
  <si>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</si>
  <si>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</si>
  <si>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</si>
  <si>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</si>
  <si>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</si>
  <si>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</si>
  <si>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</si>
  <si>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</si>
  <si>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</si>
  <si>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</si>
  <si>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</si>
  <si>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</si>
  <si>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</si>
  <si>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</si>
  <si>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</si>
  <si>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</si>
  <si>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</si>
  <si>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</si>
  <si>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</si>
  <si>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</si>
  <si>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</si>
  <si>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</si>
  <si>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</si>
  <si>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</si>
  <si>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</si>
  <si>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</si>
  <si>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</si>
  <si>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</si>
  <si>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</si>
  <si>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</si>
  <si>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</si>
  <si>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</si>
  <si>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</si>
  <si>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</si>
  <si>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</si>
  <si>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</si>
  <si>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</si>
  <si>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</si>
  <si>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</si>
  <si>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</si>
  <si>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</si>
  <si>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</si>
  <si>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</si>
  <si>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</si>
  <si>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</si>
  <si>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</si>
  <si>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</si>
  <si>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</si>
  <si>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</si>
  <si>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</si>
  <si>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</si>
  <si>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</si>
  <si>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</si>
  <si>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</si>
  <si>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</si>
  <si>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</si>
  <si>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</si>
  <si>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</si>
  <si>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</si>
  <si>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</si>
  <si>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</si>
  <si>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</si>
  <si>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</si>
  <si>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</si>
  <si>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</si>
  <si>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</si>
  <si>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</si>
  <si>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</si>
  <si>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</si>
  <si>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</si>
  <si>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</si>
  <si>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</si>
  <si>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</si>
  <si>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</si>
  <si>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</si>
  <si>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</si>
  <si>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</si>
  <si>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</si>
  <si>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</si>
  <si>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</si>
  <si>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</si>
  <si>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</si>
  <si>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</si>
  <si>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</si>
  <si>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</si>
  <si>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</si>
  <si>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</si>
  <si>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</si>
  <si>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</si>
  <si>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</si>
  <si>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</si>
  <si>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</si>
  <si>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</si>
  <si>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</si>
  <si>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</si>
  <si>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</si>
  <si>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</si>
  <si>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</si>
  <si>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</si>
  <si>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</si>
  <si>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</si>
  <si>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</si>
  <si>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</si>
  <si>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</si>
  <si>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</si>
  <si>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</si>
  <si>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</si>
  <si>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</si>
  <si>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</si>
  <si>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</si>
  <si>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</si>
  <si>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</si>
  <si>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</si>
  <si>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</si>
  <si>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</si>
  <si>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</si>
  <si>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</si>
  <si>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</si>
  <si>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</si>
  <si>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</si>
  <si>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</si>
  <si>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</si>
  <si>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</si>
  <si>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</si>
  <si>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</si>
  <si>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</si>
  <si>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</si>
  <si>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</si>
  <si>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</si>
  <si>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</si>
  <si>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</si>
  <si>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</si>
  <si>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</si>
  <si>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</si>
  <si>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</si>
  <si>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</si>
  <si>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</si>
  <si>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</si>
  <si>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</si>
  <si>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</si>
  <si>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</si>
  <si>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</si>
  <si>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</si>
  <si>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</si>
  <si>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</si>
  <si>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</si>
  <si>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</si>
  <si>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</si>
  <si>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</si>
  <si>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</si>
  <si>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</si>
  <si>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</si>
  <si>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</si>
  <si>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</si>
  <si>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</si>
  <si>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</si>
  <si>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</si>
  <si>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</si>
  <si>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</si>
  <si>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</si>
  <si>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</si>
  <si>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</si>
  <si>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</si>
  <si>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</si>
  <si>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</si>
  <si>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</si>
  <si>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</si>
  <si>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</si>
  <si>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</si>
  <si>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</si>
  <si>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</si>
  <si>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</si>
  <si>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</si>
  <si>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</si>
  <si>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</si>
  <si>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</si>
  <si>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</si>
  <si>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</si>
  <si>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</si>
  <si>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</si>
  <si>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</si>
  <si>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</si>
  <si>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</si>
  <si>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</si>
  <si>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</si>
  <si>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</si>
  <si>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</si>
  <si>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</si>
  <si>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</si>
  <si>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</si>
  <si>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</si>
  <si>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</si>
  <si>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</si>
  <si>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</si>
  <si>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</si>
  <si>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</si>
  <si>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</si>
  <si>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</si>
  <si>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</si>
  <si>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</si>
  <si>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</si>
  <si>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</si>
  <si>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</si>
  <si>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</si>
  <si>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</si>
  <si>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</si>
  <si>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</si>
  <si>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</si>
  <si>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</si>
  <si>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</si>
  <si>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</si>
  <si>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</si>
  <si>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</si>
  <si>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</si>
  <si>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</si>
  <si>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</si>
  <si>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</si>
  <si>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</si>
  <si>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</si>
  <si>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</si>
  <si>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</si>
  <si>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</si>
  <si>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</si>
  <si>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</si>
  <si>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</si>
  <si>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</si>
  <si>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</si>
  <si>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</si>
  <si>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</si>
  <si>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</si>
  <si>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</si>
  <si>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</si>
  <si>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</si>
  <si>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</si>
  <si>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</si>
  <si>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</si>
  <si>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</si>
  <si>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</si>
  <si>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</si>
  <si>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</si>
  <si>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</si>
  <si>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</si>
  <si>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</si>
  <si>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</si>
  <si>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</si>
  <si>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</si>
  <si>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</si>
  <si>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</si>
  <si>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</si>
  <si>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</si>
  <si>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</si>
  <si>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</si>
  <si>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</si>
  <si>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</si>
  <si>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</si>
  <si>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</si>
  <si>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</si>
  <si>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</si>
  <si>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</si>
  <si>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</si>
  <si>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</si>
  <si>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</si>
  <si>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</si>
  <si>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</si>
  <si>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</si>
  <si>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</si>
  <si>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</si>
  <si>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</si>
  <si>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</si>
  <si>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</si>
  <si>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</si>
  <si>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</si>
  <si>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</si>
  <si>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</si>
  <si>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</si>
  <si>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</si>
  <si>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</si>
  <si>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</si>
  <si>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</si>
  <si>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</si>
  <si>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</si>
  <si>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</si>
  <si>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</si>
  <si>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</si>
  <si>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</si>
  <si>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</si>
  <si>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</si>
  <si>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</si>
  <si>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</si>
  <si>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</si>
  <si>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</si>
  <si>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</si>
  <si>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</si>
  <si>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</si>
  <si>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</si>
  <si>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</si>
  <si>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</si>
  <si>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</si>
  <si>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</si>
  <si>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</si>
  <si>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</si>
  <si>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</si>
  <si>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</si>
  <si>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</si>
  <si>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</si>
  <si>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</si>
  <si>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</si>
  <si>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</si>
  <si>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</si>
  <si>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</si>
  <si>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</si>
  <si>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</si>
  <si>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</si>
  <si>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</si>
  <si>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</si>
  <si>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</si>
  <si>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</si>
  <si>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</si>
  <si>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</si>
  <si>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</si>
  <si>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</si>
  <si>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</si>
  <si>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</si>
  <si>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</si>
  <si>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</si>
  <si>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</si>
  <si>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</si>
  <si>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</si>
  <si>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</si>
  <si>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</si>
  <si>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</si>
  <si>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</si>
  <si>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</si>
  <si>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</si>
  <si>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</si>
  <si>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</si>
  <si>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</si>
  <si>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</si>
  <si>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</si>
  <si>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</si>
  <si>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</si>
  <si>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</si>
  <si>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</si>
  <si>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</si>
  <si>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</si>
  <si>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</si>
  <si>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</si>
  <si>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</si>
  <si>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</si>
  <si>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</si>
  <si>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</si>
  <si>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</si>
  <si>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</si>
  <si>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</si>
  <si>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</si>
  <si>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</si>
  <si>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</si>
  <si>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</si>
  <si>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</si>
  <si>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</si>
  <si>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</si>
  <si>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</si>
  <si>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</si>
  <si>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</si>
  <si>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</si>
  <si>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</si>
  <si>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</si>
  <si>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</si>
  <si>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</si>
  <si>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</si>
  <si>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</si>
  <si>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</si>
  <si>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</si>
  <si>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</si>
  <si>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</si>
  <si>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</si>
  <si>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</si>
  <si>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</si>
  <si>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</si>
  <si>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</si>
  <si>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</si>
  <si>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</si>
  <si>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</si>
  <si>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</si>
  <si>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</si>
  <si>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</si>
  <si>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</si>
  <si>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</si>
  <si>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</si>
  <si>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</si>
  <si>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</si>
  <si>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</si>
  <si>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</si>
  <si>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</si>
  <si>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</si>
  <si>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</si>
  <si>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</si>
  <si>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</si>
  <si>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</si>
  <si>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</si>
  <si>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</si>
  <si>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</si>
  <si>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</si>
  <si>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</si>
  <si>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</si>
  <si>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</si>
  <si>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</si>
  <si>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</si>
  <si>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</si>
  <si>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</si>
  <si>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</si>
  <si>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</si>
  <si>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</si>
  <si>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</si>
  <si>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</si>
  <si>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</si>
  <si>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</si>
  <si>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</si>
  <si>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</si>
  <si>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</si>
  <si>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</si>
  <si>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</si>
  <si>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</si>
  <si>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</si>
  <si>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</si>
  <si>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</si>
  <si>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</si>
  <si>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</si>
  <si>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</si>
  <si>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</si>
  <si>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</si>
  <si>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</si>
  <si>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</si>
  <si>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</si>
  <si>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</si>
  <si>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</si>
  <si>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</si>
  <si>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</si>
  <si>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</si>
  <si>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</si>
  <si>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</si>
  <si>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</si>
  <si>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</si>
  <si>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</si>
  <si>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</si>
  <si>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</si>
  <si>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</si>
  <si>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</si>
  <si>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</si>
  <si>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</si>
  <si>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</si>
  <si>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</si>
  <si>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</si>
  <si>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</si>
  <si>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</si>
  <si>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</si>
  <si>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</si>
  <si>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</si>
  <si>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</si>
  <si>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</si>
  <si>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</si>
  <si>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</si>
  <si>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</si>
  <si>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</si>
  <si>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</si>
  <si>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</si>
  <si>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</si>
  <si>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</si>
  <si>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</si>
  <si>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</si>
  <si>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</si>
  <si>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</si>
  <si>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</si>
  <si>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</si>
  <si>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</si>
  <si>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</si>
  <si>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</si>
  <si>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</si>
  <si>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</si>
  <si>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</si>
  <si>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</si>
  <si>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</si>
  <si>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</si>
  <si>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</si>
  <si>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</si>
  <si>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</si>
  <si>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</si>
  <si>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</si>
  <si>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</si>
  <si>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</si>
  <si>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</si>
  <si>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</si>
  <si>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</si>
  <si>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</si>
  <si>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</si>
  <si>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</si>
  <si>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</si>
  <si>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</si>
  <si>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</si>
  <si>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</si>
  <si>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</si>
  <si>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</si>
  <si>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</si>
  <si>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</si>
  <si>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</si>
  <si>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</si>
  <si>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</si>
  <si>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</si>
  <si>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</si>
  <si>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</si>
  <si>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</si>
  <si>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</si>
  <si>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</si>
  <si>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</si>
  <si>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</si>
  <si>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</si>
  <si>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</si>
  <si>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</si>
  <si>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</si>
  <si>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</si>
  <si>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</si>
  <si>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</si>
  <si>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</si>
  <si>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</si>
  <si>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</si>
  <si>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</si>
  <si>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</si>
  <si>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</si>
  <si>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</si>
  <si>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</si>
  <si>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</si>
  <si>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</si>
  <si>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</si>
  <si>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</si>
  <si>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</si>
  <si>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</si>
  <si>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</si>
  <si>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</si>
  <si>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</si>
  <si>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</si>
  <si>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</si>
  <si>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</si>
  <si>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</si>
  <si>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</si>
  <si>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</si>
  <si>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</si>
  <si>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</si>
  <si>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</si>
  <si>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</si>
  <si>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</si>
  <si>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</si>
  <si>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</si>
  <si>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</si>
  <si>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</si>
  <si>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</si>
  <si>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</si>
  <si>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</si>
  <si>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</si>
  <si>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</si>
  <si>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</si>
  <si>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</si>
  <si>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</si>
  <si>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</si>
  <si>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</si>
  <si>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</si>
  <si>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</si>
  <si>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</si>
  <si>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</si>
  <si>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</si>
  <si>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</si>
  <si>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</si>
  <si>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</si>
  <si>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</si>
  <si>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</si>
  <si>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</si>
  <si>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</si>
  <si>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</si>
  <si>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</si>
  <si>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</si>
  <si>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</si>
  <si>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</si>
  <si>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</si>
  <si>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31043</t>
  </si>
  <si>
    <t>KNOKKE-HEIST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</si>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</sst>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272450.1957822793</c:v>
                </c:pt>
                <c:pt idx="1">
                  <c:v>242478.99583947778</c:v>
                </c:pt>
                <c:pt idx="2">
                  <c:v>3099.9409999999998</c:v>
                </c:pt>
                <c:pt idx="3">
                  <c:v>61204.959587182551</c:v>
                </c:pt>
                <c:pt idx="4">
                  <c:v>26872.132508018378</c:v>
                </c:pt>
                <c:pt idx="5">
                  <c:v>128527.30320847422</c:v>
                </c:pt>
                <c:pt idx="6">
                  <c:v>2251.6559833265942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272450.1957822793</c:v>
                </c:pt>
                <c:pt idx="1">
                  <c:v>242478.99583947778</c:v>
                </c:pt>
                <c:pt idx="2">
                  <c:v>3099.9409999999998</c:v>
                </c:pt>
                <c:pt idx="3">
                  <c:v>61204.959587182551</c:v>
                </c:pt>
                <c:pt idx="4">
                  <c:v>26872.132508018378</c:v>
                </c:pt>
                <c:pt idx="5">
                  <c:v>128527.30320847422</c:v>
                </c:pt>
                <c:pt idx="6">
                  <c:v>2251.6559833265942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55835.526796261598</c:v>
                </c:pt>
                <c:pt idx="1">
                  <c:v>49141.130339569761</c:v>
                </c:pt>
                <c:pt idx="2">
                  <c:v>671.68341520533397</c:v>
                </c:pt>
                <c:pt idx="3">
                  <c:v>12981.509565941926</c:v>
                </c:pt>
                <c:pt idx="4">
                  <c:v>5431.847803363612</c:v>
                </c:pt>
                <c:pt idx="5">
                  <c:v>32171.022678181635</c:v>
                </c:pt>
                <c:pt idx="6">
                  <c:v>546.16455642100175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55835.526796261598</c:v>
                </c:pt>
                <c:pt idx="1">
                  <c:v>49141.130339569761</c:v>
                </c:pt>
                <c:pt idx="2">
                  <c:v>671.68341520533397</c:v>
                </c:pt>
                <c:pt idx="3">
                  <c:v>12981.509565941926</c:v>
                </c:pt>
                <c:pt idx="4">
                  <c:v>5431.847803363612</c:v>
                </c:pt>
                <c:pt idx="5">
                  <c:v>32171.022678181635</c:v>
                </c:pt>
                <c:pt idx="6">
                  <c:v>546.16455642100175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31043</v>
      </c>
      <c r="B6" s="415"/>
      <c r="C6" s="416"/>
    </row>
    <row r="7" spans="1:7" s="413" customFormat="1" ht="15.75" customHeight="1">
      <c r="A7" s="417" t="str">
        <f>txtMunicipality</f>
        <v>KNOKKE-HEIST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16833</v>
      </c>
      <c r="C9" s="342">
        <v>17564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3412.05</v>
      </c>
    </row>
    <row r="15" spans="1:6">
      <c r="A15" s="348" t="s">
        <v>184</v>
      </c>
      <c r="B15" s="334">
        <v>23</v>
      </c>
    </row>
    <row r="16" spans="1:6">
      <c r="A16" s="348" t="s">
        <v>6</v>
      </c>
      <c r="B16" s="334">
        <v>575</v>
      </c>
    </row>
    <row r="17" spans="1:6">
      <c r="A17" s="348" t="s">
        <v>7</v>
      </c>
      <c r="B17" s="334">
        <v>1242</v>
      </c>
    </row>
    <row r="18" spans="1:6">
      <c r="A18" s="348" t="s">
        <v>8</v>
      </c>
      <c r="B18" s="334">
        <v>1519</v>
      </c>
    </row>
    <row r="19" spans="1:6">
      <c r="A19" s="348" t="s">
        <v>9</v>
      </c>
      <c r="B19" s="334">
        <v>1259</v>
      </c>
    </row>
    <row r="20" spans="1:6">
      <c r="A20" s="348" t="s">
        <v>10</v>
      </c>
      <c r="B20" s="334">
        <v>730</v>
      </c>
    </row>
    <row r="21" spans="1:6">
      <c r="A21" s="348" t="s">
        <v>11</v>
      </c>
      <c r="B21" s="334">
        <v>1020</v>
      </c>
    </row>
    <row r="22" spans="1:6">
      <c r="A22" s="348" t="s">
        <v>12</v>
      </c>
      <c r="B22" s="334">
        <v>4945</v>
      </c>
    </row>
    <row r="23" spans="1:6">
      <c r="A23" s="348" t="s">
        <v>13</v>
      </c>
      <c r="B23" s="334">
        <v>45</v>
      </c>
    </row>
    <row r="24" spans="1:6">
      <c r="A24" s="348" t="s">
        <v>14</v>
      </c>
      <c r="B24" s="334">
        <v>4</v>
      </c>
    </row>
    <row r="25" spans="1:6">
      <c r="A25" s="348" t="s">
        <v>15</v>
      </c>
      <c r="B25" s="334">
        <v>293</v>
      </c>
    </row>
    <row r="26" spans="1:6">
      <c r="A26" s="348" t="s">
        <v>16</v>
      </c>
      <c r="B26" s="334">
        <v>276</v>
      </c>
    </row>
    <row r="27" spans="1:6">
      <c r="A27" s="348" t="s">
        <v>17</v>
      </c>
      <c r="B27" s="334">
        <v>0</v>
      </c>
    </row>
    <row r="28" spans="1:6" s="356" customFormat="1">
      <c r="A28" s="355" t="s">
        <v>18</v>
      </c>
      <c r="B28" s="355">
        <v>43951</v>
      </c>
    </row>
    <row r="29" spans="1:6">
      <c r="A29" s="355" t="s">
        <v>744</v>
      </c>
      <c r="B29" s="355">
        <v>500</v>
      </c>
      <c r="C29" s="356"/>
      <c r="D29" s="356"/>
      <c r="E29" s="356"/>
      <c r="F29" s="356"/>
    </row>
    <row r="30" spans="1:6">
      <c r="A30" s="341" t="s">
        <v>745</v>
      </c>
      <c r="B30" s="341">
        <v>90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1067605.39192605</v>
      </c>
      <c r="E36" s="334">
        <v>3</v>
      </c>
      <c r="F36" s="334">
        <v>7398.7593461841998</v>
      </c>
    </row>
    <row r="37" spans="1:6">
      <c r="A37" s="348" t="s">
        <v>25</v>
      </c>
      <c r="B37" s="348" t="s">
        <v>28</v>
      </c>
      <c r="C37" s="334">
        <v>0</v>
      </c>
      <c r="D37" s="334">
        <v>0</v>
      </c>
      <c r="E37" s="334">
        <v>0</v>
      </c>
      <c r="F37" s="334">
        <v>0</v>
      </c>
    </row>
    <row r="38" spans="1:6">
      <c r="A38" s="348" t="s">
        <v>25</v>
      </c>
      <c r="B38" s="348" t="s">
        <v>29</v>
      </c>
      <c r="C38" s="334">
        <v>0</v>
      </c>
      <c r="D38" s="334">
        <v>0</v>
      </c>
      <c r="E38" s="334">
        <v>5</v>
      </c>
      <c r="F38" s="334">
        <v>14768.9227960321</v>
      </c>
    </row>
    <row r="39" spans="1:6">
      <c r="A39" s="348" t="s">
        <v>30</v>
      </c>
      <c r="B39" s="348" t="s">
        <v>31</v>
      </c>
      <c r="C39" s="334">
        <v>18835</v>
      </c>
      <c r="D39" s="334">
        <v>228580070.14732</v>
      </c>
      <c r="E39" s="334">
        <v>25296</v>
      </c>
      <c r="F39" s="334">
        <v>63130558.648983501</v>
      </c>
    </row>
    <row r="40" spans="1:6">
      <c r="A40" s="348" t="s">
        <v>30</v>
      </c>
      <c r="B40" s="348" t="s">
        <v>29</v>
      </c>
      <c r="C40" s="334">
        <v>1</v>
      </c>
      <c r="D40" s="334">
        <v>3425.4722417865</v>
      </c>
      <c r="E40" s="334">
        <v>1</v>
      </c>
      <c r="F40" s="334">
        <v>1297.7496471944</v>
      </c>
    </row>
    <row r="41" spans="1:6">
      <c r="A41" s="348" t="s">
        <v>32</v>
      </c>
      <c r="B41" s="348" t="s">
        <v>33</v>
      </c>
      <c r="C41" s="334">
        <v>509</v>
      </c>
      <c r="D41" s="334">
        <v>7527016.8932850501</v>
      </c>
      <c r="E41" s="334">
        <v>890</v>
      </c>
      <c r="F41" s="334">
        <v>5288217.4971738197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26671.892797947599</v>
      </c>
      <c r="E44" s="334">
        <v>18</v>
      </c>
      <c r="F44" s="334">
        <v>201490.60497520701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169952.46893506599</v>
      </c>
      <c r="E47" s="334">
        <v>10</v>
      </c>
      <c r="F47" s="334">
        <v>69254.985121438993</v>
      </c>
    </row>
    <row r="48" spans="1:6">
      <c r="A48" s="348" t="s">
        <v>32</v>
      </c>
      <c r="B48" s="348" t="s">
        <v>29</v>
      </c>
      <c r="C48" s="334">
        <v>68</v>
      </c>
      <c r="D48" s="334">
        <v>1149194.27898981</v>
      </c>
      <c r="E48" s="334">
        <v>94</v>
      </c>
      <c r="F48" s="334">
        <v>694913.37827710004</v>
      </c>
    </row>
    <row r="49" spans="1:6">
      <c r="A49" s="348" t="s">
        <v>32</v>
      </c>
      <c r="B49" s="348" t="s">
        <v>40</v>
      </c>
      <c r="C49" s="334">
        <v>7</v>
      </c>
      <c r="D49" s="334">
        <v>138144.520011738</v>
      </c>
      <c r="E49" s="334">
        <v>10</v>
      </c>
      <c r="F49" s="334">
        <v>79916.626015584698</v>
      </c>
    </row>
    <row r="50" spans="1:6">
      <c r="A50" s="348" t="s">
        <v>32</v>
      </c>
      <c r="B50" s="348" t="s">
        <v>41</v>
      </c>
      <c r="C50" s="334">
        <v>36</v>
      </c>
      <c r="D50" s="334">
        <v>2144594.9334398601</v>
      </c>
      <c r="E50" s="334">
        <v>66</v>
      </c>
      <c r="F50" s="334">
        <v>2079430.89952341</v>
      </c>
    </row>
    <row r="51" spans="1:6">
      <c r="A51" s="348" t="s">
        <v>42</v>
      </c>
      <c r="B51" s="348" t="s">
        <v>43</v>
      </c>
      <c r="C51" s="334">
        <v>41</v>
      </c>
      <c r="D51" s="334">
        <v>736521.89984640304</v>
      </c>
      <c r="E51" s="334">
        <v>140</v>
      </c>
      <c r="F51" s="334">
        <v>1945543.0558519999</v>
      </c>
    </row>
    <row r="52" spans="1:6">
      <c r="A52" s="348" t="s">
        <v>42</v>
      </c>
      <c r="B52" s="348" t="s">
        <v>29</v>
      </c>
      <c r="C52" s="334">
        <v>14</v>
      </c>
      <c r="D52" s="334">
        <v>386054.777077401</v>
      </c>
      <c r="E52" s="334">
        <v>12</v>
      </c>
      <c r="F52" s="334">
        <v>59874.011785273899</v>
      </c>
    </row>
    <row r="53" spans="1:6">
      <c r="A53" s="348" t="s">
        <v>44</v>
      </c>
      <c r="B53" s="348" t="s">
        <v>45</v>
      </c>
      <c r="C53" s="334">
        <v>5603</v>
      </c>
      <c r="D53" s="334">
        <v>54859237.273934402</v>
      </c>
      <c r="E53" s="334">
        <v>9396</v>
      </c>
      <c r="F53" s="334">
        <v>18396729.231476501</v>
      </c>
    </row>
    <row r="54" spans="1:6">
      <c r="A54" s="348" t="s">
        <v>46</v>
      </c>
      <c r="B54" s="348" t="s">
        <v>47</v>
      </c>
      <c r="C54" s="334">
        <v>0</v>
      </c>
      <c r="D54" s="334">
        <v>0</v>
      </c>
      <c r="E54" s="334">
        <v>1</v>
      </c>
      <c r="F54" s="334">
        <v>3099941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157</v>
      </c>
      <c r="D57" s="334">
        <v>7332368.8342898702</v>
      </c>
      <c r="E57" s="334">
        <v>390</v>
      </c>
      <c r="F57" s="334">
        <v>13148747.9278138</v>
      </c>
    </row>
    <row r="58" spans="1:6">
      <c r="A58" s="348" t="s">
        <v>49</v>
      </c>
      <c r="B58" s="348" t="s">
        <v>51</v>
      </c>
      <c r="C58" s="334">
        <v>177</v>
      </c>
      <c r="D58" s="334">
        <v>7918248.1508509303</v>
      </c>
      <c r="E58" s="334">
        <v>256</v>
      </c>
      <c r="F58" s="334">
        <v>4647377.7814221801</v>
      </c>
    </row>
    <row r="59" spans="1:6">
      <c r="A59" s="348" t="s">
        <v>49</v>
      </c>
      <c r="B59" s="348" t="s">
        <v>52</v>
      </c>
      <c r="C59" s="334">
        <v>804</v>
      </c>
      <c r="D59" s="334">
        <v>16630886.8312105</v>
      </c>
      <c r="E59" s="334">
        <v>1489</v>
      </c>
      <c r="F59" s="334">
        <v>28519060.001370899</v>
      </c>
    </row>
    <row r="60" spans="1:6">
      <c r="A60" s="348" t="s">
        <v>49</v>
      </c>
      <c r="B60" s="348" t="s">
        <v>53</v>
      </c>
      <c r="C60" s="334">
        <v>427</v>
      </c>
      <c r="D60" s="334">
        <v>22098209.346566301</v>
      </c>
      <c r="E60" s="334">
        <v>555</v>
      </c>
      <c r="F60" s="334">
        <v>17396723.832023401</v>
      </c>
    </row>
    <row r="61" spans="1:6">
      <c r="A61" s="348" t="s">
        <v>49</v>
      </c>
      <c r="B61" s="348" t="s">
        <v>54</v>
      </c>
      <c r="C61" s="334">
        <v>2052</v>
      </c>
      <c r="D61" s="334">
        <v>62924430.3747788</v>
      </c>
      <c r="E61" s="334">
        <v>5050</v>
      </c>
      <c r="F61" s="334">
        <v>28342604.016571499</v>
      </c>
    </row>
    <row r="62" spans="1:6">
      <c r="A62" s="348" t="s">
        <v>49</v>
      </c>
      <c r="B62" s="348" t="s">
        <v>55</v>
      </c>
      <c r="C62" s="334">
        <v>20</v>
      </c>
      <c r="D62" s="334">
        <v>1550817.71956526</v>
      </c>
      <c r="E62" s="334">
        <v>21</v>
      </c>
      <c r="F62" s="334">
        <v>292812.47786373203</v>
      </c>
    </row>
    <row r="63" spans="1:6">
      <c r="A63" s="348" t="s">
        <v>49</v>
      </c>
      <c r="B63" s="348" t="s">
        <v>29</v>
      </c>
      <c r="C63" s="334">
        <v>210</v>
      </c>
      <c r="D63" s="334">
        <v>10945744.2050124</v>
      </c>
      <c r="E63" s="334">
        <v>176</v>
      </c>
      <c r="F63" s="334">
        <v>3574389.5793422</v>
      </c>
    </row>
    <row r="64" spans="1:6">
      <c r="A64" s="348" t="s">
        <v>56</v>
      </c>
      <c r="B64" s="348" t="s">
        <v>57</v>
      </c>
      <c r="C64" s="334">
        <v>0</v>
      </c>
      <c r="D64" s="334">
        <v>0</v>
      </c>
      <c r="E64" s="334">
        <v>0</v>
      </c>
      <c r="F64" s="334">
        <v>0</v>
      </c>
    </row>
    <row r="65" spans="1:6">
      <c r="A65" s="348" t="s">
        <v>56</v>
      </c>
      <c r="B65" s="348" t="s">
        <v>29</v>
      </c>
      <c r="C65" s="334">
        <v>11</v>
      </c>
      <c r="D65" s="334">
        <v>298671.415630078</v>
      </c>
      <c r="E65" s="334">
        <v>3</v>
      </c>
      <c r="F65" s="334">
        <v>12491.7478358846</v>
      </c>
    </row>
    <row r="66" spans="1:6">
      <c r="A66" s="348" t="s">
        <v>56</v>
      </c>
      <c r="B66" s="348" t="s">
        <v>58</v>
      </c>
      <c r="C66" s="334">
        <v>0</v>
      </c>
      <c r="D66" s="334">
        <v>0</v>
      </c>
      <c r="E66" s="334">
        <v>30</v>
      </c>
      <c r="F66" s="334">
        <v>615195.86419282004</v>
      </c>
    </row>
    <row r="67" spans="1:6">
      <c r="A67" s="355" t="s">
        <v>56</v>
      </c>
      <c r="B67" s="355" t="s">
        <v>59</v>
      </c>
      <c r="C67" s="334">
        <v>0</v>
      </c>
      <c r="D67" s="334">
        <v>0</v>
      </c>
      <c r="E67" s="334">
        <v>0</v>
      </c>
      <c r="F67" s="334">
        <v>0</v>
      </c>
    </row>
    <row r="68" spans="1:6">
      <c r="A68" s="341" t="s">
        <v>56</v>
      </c>
      <c r="B68" s="341" t="s">
        <v>60</v>
      </c>
      <c r="C68" s="334">
        <v>20</v>
      </c>
      <c r="D68" s="334">
        <v>284019.25955079601</v>
      </c>
      <c r="E68" s="334">
        <v>42</v>
      </c>
      <c r="F68" s="334">
        <v>683117.90152627102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110670250</v>
      </c>
      <c r="E73" s="476">
        <v>107038287.93950228</v>
      </c>
    </row>
    <row r="74" spans="1:6">
      <c r="A74" s="348" t="s">
        <v>64</v>
      </c>
      <c r="B74" s="348" t="s">
        <v>657</v>
      </c>
      <c r="C74" s="1213" t="s">
        <v>659</v>
      </c>
      <c r="D74" s="476">
        <v>11829819.486444153</v>
      </c>
      <c r="E74" s="476">
        <v>11143683.593623457</v>
      </c>
    </row>
    <row r="75" spans="1:6">
      <c r="A75" s="348" t="s">
        <v>65</v>
      </c>
      <c r="B75" s="348" t="s">
        <v>656</v>
      </c>
      <c r="C75" s="1213" t="s">
        <v>660</v>
      </c>
      <c r="D75" s="476">
        <v>29535151</v>
      </c>
      <c r="E75" s="476">
        <v>27718406.80699202</v>
      </c>
    </row>
    <row r="76" spans="1:6">
      <c r="A76" s="348" t="s">
        <v>65</v>
      </c>
      <c r="B76" s="348" t="s">
        <v>657</v>
      </c>
      <c r="C76" s="1213" t="s">
        <v>661</v>
      </c>
      <c r="D76" s="476">
        <v>1191762.4864441534</v>
      </c>
      <c r="E76" s="476">
        <v>1101112.4568216028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439415.02711169352</v>
      </c>
      <c r="C83" s="476">
        <v>439047.26679019834</v>
      </c>
    </row>
    <row r="84" spans="1:6">
      <c r="A84" s="341" t="s">
        <v>337</v>
      </c>
      <c r="B84" s="1214">
        <v>179147.21326706858</v>
      </c>
      <c r="C84" s="1214">
        <v>178579.39681426235</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2342.3396681371842</v>
      </c>
    </row>
    <row r="92" spans="1:6">
      <c r="A92" s="341" t="s">
        <v>69</v>
      </c>
      <c r="B92" s="342">
        <v>1093.2504419657589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1</v>
      </c>
    </row>
    <row r="131" spans="1:6">
      <c r="A131" s="348" t="s">
        <v>296</v>
      </c>
      <c r="B131" s="334">
        <v>4</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175601.14493798572</v>
      </c>
      <c r="C3" s="43" t="s">
        <v>170</v>
      </c>
      <c r="D3" s="43"/>
      <c r="E3" s="154"/>
      <c r="F3" s="43"/>
      <c r="G3" s="43"/>
      <c r="H3" s="43"/>
      <c r="I3" s="43"/>
      <c r="J3" s="43"/>
      <c r="K3" s="96"/>
    </row>
    <row r="4" spans="1:11">
      <c r="A4" s="383" t="s">
        <v>171</v>
      </c>
      <c r="B4" s="49">
        <f>IF(ISERROR('SEAP template'!B69),0,'SEAP template'!B69)</f>
        <v>3435.5901101029431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0.21667619325830201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3099.9409999999998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3099.9409999999998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0.21667619325830201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671.68341520533397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63131.856398630691</v>
      </c>
      <c r="C5" s="17">
        <f>IF(ISERROR('Eigen informatie GS &amp; warmtenet'!B57),0,'Eigen informatie GS &amp; warmtenet'!B57)</f>
        <v>0</v>
      </c>
      <c r="D5" s="30">
        <f>(SUM(HH_hh_gas_kWh,HH_rest_gas_kWh)/1000)*0.902</f>
        <v>206182.31304884475</v>
      </c>
      <c r="E5" s="17">
        <f>B46*B57</f>
        <v>0</v>
      </c>
      <c r="F5" s="17">
        <f>B51*B62</f>
        <v>0</v>
      </c>
      <c r="G5" s="18"/>
      <c r="H5" s="17"/>
      <c r="I5" s="17"/>
      <c r="J5" s="17">
        <f>B50*B61+C50*C61</f>
        <v>0</v>
      </c>
      <c r="K5" s="17"/>
      <c r="L5" s="17"/>
      <c r="M5" s="17"/>
      <c r="N5" s="17">
        <f>B48*B59+C48*C59</f>
        <v>0</v>
      </c>
      <c r="O5" s="17">
        <f>B69*B70*B71</f>
        <v>240.75333333333336</v>
      </c>
      <c r="P5" s="17">
        <f>B77*B78*B79/1000-B77*B78*B79/1000/B80</f>
        <v>552.93333333333339</v>
      </c>
    </row>
    <row r="6" spans="1:16">
      <c r="A6" s="16" t="s">
        <v>621</v>
      </c>
      <c r="B6" s="843">
        <f>kWh_PV_kleiner_dan_10kW</f>
        <v>2342.3396681371842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65474.196066767872</v>
      </c>
      <c r="C8" s="21">
        <f>C5</f>
        <v>0</v>
      </c>
      <c r="D8" s="21">
        <f>D5</f>
        <v>206182.31304884475</v>
      </c>
      <c r="E8" s="21">
        <f>E5</f>
        <v>0</v>
      </c>
      <c r="F8" s="21">
        <f>F5</f>
        <v>0</v>
      </c>
      <c r="G8" s="21"/>
      <c r="H8" s="21"/>
      <c r="I8" s="21"/>
      <c r="J8" s="21">
        <f>J5</f>
        <v>0</v>
      </c>
      <c r="K8" s="21"/>
      <c r="L8" s="21">
        <f>L5</f>
        <v>0</v>
      </c>
      <c r="M8" s="21">
        <f>M5</f>
        <v>0</v>
      </c>
      <c r="N8" s="21">
        <f>N5</f>
        <v>0</v>
      </c>
      <c r="O8" s="21">
        <f>O5</f>
        <v>240.75333333333336</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0.21667619325830201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14186.699560394953</v>
      </c>
      <c r="C12" s="23">
        <f ca="1">C10*C8</f>
        <v>0</v>
      </c>
      <c r="D12" s="23">
        <f>D8*D10</f>
        <v>41648.827235866644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16833</v>
      </c>
      <c r="C28" s="36"/>
      <c r="D28" s="228"/>
    </row>
    <row r="29" spans="1:7" s="15" customFormat="1">
      <c r="A29" s="230" t="s">
        <v>795</v>
      </c>
      <c r="B29" s="37">
        <f>SUM(HH_hh_gas_aantal,HH_rest_gas_aantal)</f>
        <v>18836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18836</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18836</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95921.715616407717</v>
      </c>
      <c r="C5" s="17">
        <f>IF(ISERROR('Eigen informatie GS &amp; warmtenet'!B58),0,'Eigen informatie GS &amp; warmtenet'!B58)</f>
        <v>0</v>
      </c>
      <c r="D5" s="30">
        <f>SUM(D6:D12)</f>
        <v>116719.43632697119</v>
      </c>
      <c r="E5" s="17">
        <f>SUM(E6:E12)</f>
        <v>1348.4472038196391</v>
      </c>
      <c r="F5" s="17">
        <f>SUM(F6:F12)</f>
        <v>16755.244933689988</v>
      </c>
      <c r="G5" s="18"/>
      <c r="H5" s="17"/>
      <c r="I5" s="17"/>
      <c r="J5" s="17">
        <f>SUM(J6:J12)</f>
        <v>0.29406325041565157</v>
      </c>
      <c r="K5" s="17"/>
      <c r="L5" s="17"/>
      <c r="M5" s="17"/>
      <c r="N5" s="17">
        <f>SUM(N6:N12)</f>
        <v>11656.027695338813</v>
      </c>
      <c r="O5" s="17">
        <f>B38*B39*B40</f>
        <v>1.5633333333333335</v>
      </c>
      <c r="P5" s="17">
        <f>B46*B47*B48/1000-B46*B47*B48/1000/B49</f>
        <v>76.266666666666666</v>
      </c>
      <c r="R5" s="32"/>
    </row>
    <row r="6" spans="1:18">
      <c r="A6" s="32" t="s">
        <v>54</v>
      </c>
      <c r="B6" s="37">
        <f>B26</f>
        <v>28342.604016571499</v>
      </c>
      <c r="C6" s="33"/>
      <c r="D6" s="37">
        <f>IF(ISERROR(TER_kantoor_gas_kWh/1000),0,TER_kantoor_gas_kWh/1000)*0.902</f>
        <v>56757.836198050478</v>
      </c>
      <c r="E6" s="33">
        <f>$C$26*'E Balans VL '!I12/100/3.6*1000000</f>
        <v>0.17764201537345525</v>
      </c>
      <c r="F6" s="33">
        <f>$C$26*('E Balans VL '!L12+'E Balans VL '!N12)/100/3.6*1000000</f>
        <v>4259.101415801515</v>
      </c>
      <c r="G6" s="34"/>
      <c r="H6" s="33"/>
      <c r="I6" s="33"/>
      <c r="J6" s="33">
        <f>$C$26*('E Balans VL '!D12+'E Balans VL '!E12)/100/3.6*1000000</f>
        <v>0</v>
      </c>
      <c r="K6" s="33"/>
      <c r="L6" s="33"/>
      <c r="M6" s="33"/>
      <c r="N6" s="33">
        <f>$C$26*'E Balans VL '!Y12/100/3.6*1000000</f>
        <v>27.105498489632517</v>
      </c>
      <c r="O6" s="33"/>
      <c r="P6" s="33"/>
      <c r="R6" s="32"/>
    </row>
    <row r="7" spans="1:18">
      <c r="A7" s="32" t="s">
        <v>53</v>
      </c>
      <c r="B7" s="37">
        <f t="shared" ref="B7:B12" si="0">B27</f>
        <v>17396.723832023399</v>
      </c>
      <c r="C7" s="33"/>
      <c r="D7" s="37">
        <f>IF(ISERROR(TER_horeca_gas_kWh/1000),0,TER_horeca_gas_kWh/1000)*0.902</f>
        <v>19932.584830602806</v>
      </c>
      <c r="E7" s="33">
        <f>$C$27*'E Balans VL '!I9/100/3.6*1000000</f>
        <v>249.11818753355792</v>
      </c>
      <c r="F7" s="33">
        <f>$C$27*('E Balans VL '!L9+'E Balans VL '!N9)/100/3.6*1000000</f>
        <v>2202.9990031909761</v>
      </c>
      <c r="G7" s="34"/>
      <c r="H7" s="33"/>
      <c r="I7" s="33"/>
      <c r="J7" s="33">
        <f>$C$27*('E Balans VL '!D9+'E Balans VL '!E9)/100/3.6*1000000</f>
        <v>0</v>
      </c>
      <c r="K7" s="33"/>
      <c r="L7" s="33"/>
      <c r="M7" s="33"/>
      <c r="N7" s="33">
        <f>$C$27*'E Balans VL '!Y9/100/3.6*1000000</f>
        <v>5.0011745368713081</v>
      </c>
      <c r="O7" s="33"/>
      <c r="P7" s="33"/>
      <c r="R7" s="32"/>
    </row>
    <row r="8" spans="1:18">
      <c r="A8" s="6" t="s">
        <v>52</v>
      </c>
      <c r="B8" s="37">
        <f t="shared" si="0"/>
        <v>28519.060001370901</v>
      </c>
      <c r="C8" s="33"/>
      <c r="D8" s="37">
        <f>IF(ISERROR(TER_handel_gas_kWh/1000),0,TER_handel_gas_kWh/1000)*0.902</f>
        <v>15001.059921751872</v>
      </c>
      <c r="E8" s="33">
        <f>$C$28*'E Balans VL '!I13/100/3.6*1000000</f>
        <v>1034.3827894368019</v>
      </c>
      <c r="F8" s="33">
        <f>$C$28*('E Balans VL '!L13+'E Balans VL '!N13)/100/3.6*1000000</f>
        <v>5493.0597301062162</v>
      </c>
      <c r="G8" s="34"/>
      <c r="H8" s="33"/>
      <c r="I8" s="33"/>
      <c r="J8" s="33">
        <f>$C$28*('E Balans VL '!D13+'E Balans VL '!E13)/100/3.6*1000000</f>
        <v>0</v>
      </c>
      <c r="K8" s="33"/>
      <c r="L8" s="33"/>
      <c r="M8" s="33"/>
      <c r="N8" s="33">
        <f>$C$28*'E Balans VL '!Y13/100/3.6*1000000</f>
        <v>39.505460044951114</v>
      </c>
      <c r="O8" s="33"/>
      <c r="P8" s="33"/>
      <c r="R8" s="32"/>
    </row>
    <row r="9" spans="1:18">
      <c r="A9" s="32" t="s">
        <v>51</v>
      </c>
      <c r="B9" s="37">
        <f t="shared" si="0"/>
        <v>4647.3777814221803</v>
      </c>
      <c r="C9" s="33"/>
      <c r="D9" s="37">
        <f>IF(ISERROR(TER_gezond_gas_kWh/1000),0,TER_gezond_gas_kWh/1000)*0.902</f>
        <v>7142.2598320675388</v>
      </c>
      <c r="E9" s="33">
        <f>$C$29*'E Balans VL '!I10/100/3.6*1000000</f>
        <v>0.29097173368309381</v>
      </c>
      <c r="F9" s="33">
        <f>$C$29*('E Balans VL '!L10+'E Balans VL '!N10)/100/3.6*1000000</f>
        <v>690.38211934804235</v>
      </c>
      <c r="G9" s="34"/>
      <c r="H9" s="33"/>
      <c r="I9" s="33"/>
      <c r="J9" s="33">
        <f>$C$29*('E Balans VL '!D10+'E Balans VL '!E10)/100/3.6*1000000</f>
        <v>0</v>
      </c>
      <c r="K9" s="33"/>
      <c r="L9" s="33"/>
      <c r="M9" s="33"/>
      <c r="N9" s="33">
        <f>$C$29*'E Balans VL '!Y10/100/3.6*1000000</f>
        <v>71.886087956661996</v>
      </c>
      <c r="O9" s="33"/>
      <c r="P9" s="33"/>
      <c r="R9" s="32"/>
    </row>
    <row r="10" spans="1:18">
      <c r="A10" s="32" t="s">
        <v>50</v>
      </c>
      <c r="B10" s="37">
        <f t="shared" si="0"/>
        <v>13148.7479278138</v>
      </c>
      <c r="C10" s="33"/>
      <c r="D10" s="37">
        <f>IF(ISERROR(TER_ander_gas_kWh/1000),0,TER_ander_gas_kWh/1000)*0.902</f>
        <v>6613.7966885294636</v>
      </c>
      <c r="E10" s="33">
        <f>$C$30*'E Balans VL '!I14/100/3.6*1000000</f>
        <v>15.672837673094966</v>
      </c>
      <c r="F10" s="33">
        <f>$C$30*('E Balans VL '!L14+'E Balans VL '!N14)/100/3.6*1000000</f>
        <v>3440.2970053367685</v>
      </c>
      <c r="G10" s="34"/>
      <c r="H10" s="33"/>
      <c r="I10" s="33"/>
      <c r="J10" s="33">
        <f>$C$30*('E Balans VL '!D14+'E Balans VL '!E14)/100/3.6*1000000</f>
        <v>0.28540777584412702</v>
      </c>
      <c r="K10" s="33"/>
      <c r="L10" s="33"/>
      <c r="M10" s="33"/>
      <c r="N10" s="33">
        <f>$C$30*'E Balans VL '!Y14/100/3.6*1000000</f>
        <v>11165.594994966574</v>
      </c>
      <c r="O10" s="33"/>
      <c r="P10" s="33"/>
      <c r="R10" s="32"/>
    </row>
    <row r="11" spans="1:18">
      <c r="A11" s="32" t="s">
        <v>55</v>
      </c>
      <c r="B11" s="37">
        <f t="shared" si="0"/>
        <v>292.812477863732</v>
      </c>
      <c r="C11" s="33"/>
      <c r="D11" s="37">
        <f>IF(ISERROR(TER_onderwijs_gas_kWh/1000),0,TER_onderwijs_gas_kWh/1000)*0.902</f>
        <v>1398.8375830478644</v>
      </c>
      <c r="E11" s="33">
        <f>$C$31*'E Balans VL '!I11/100/3.6*1000000</f>
        <v>4.4180686716219775</v>
      </c>
      <c r="F11" s="33">
        <f>$C$31*('E Balans VL '!L11+'E Balans VL '!N11)/100/3.6*1000000</f>
        <v>51.305423940223271</v>
      </c>
      <c r="G11" s="34"/>
      <c r="H11" s="33"/>
      <c r="I11" s="33"/>
      <c r="J11" s="33">
        <f>$C$31*('E Balans VL '!D11+'E Balans VL '!E11)/100/3.6*1000000</f>
        <v>0</v>
      </c>
      <c r="K11" s="33"/>
      <c r="L11" s="33"/>
      <c r="M11" s="33"/>
      <c r="N11" s="33">
        <f>$C$31*'E Balans VL '!Y11/100/3.6*1000000</f>
        <v>0.82399657316082897</v>
      </c>
      <c r="O11" s="33"/>
      <c r="P11" s="33"/>
      <c r="R11" s="32"/>
    </row>
    <row r="12" spans="1:18">
      <c r="A12" s="32" t="s">
        <v>260</v>
      </c>
      <c r="B12" s="37">
        <f t="shared" si="0"/>
        <v>3574.3895793421998</v>
      </c>
      <c r="C12" s="33"/>
      <c r="D12" s="37">
        <f>IF(ISERROR(TER_rest_gas_kWh/1000),0,TER_rest_gas_kWh/1000)*0.902</f>
        <v>9873.0612729211844</v>
      </c>
      <c r="E12" s="33">
        <f>$C$32*'E Balans VL '!I8/100/3.6*1000000</f>
        <v>44.386706755505692</v>
      </c>
      <c r="F12" s="33">
        <f>$C$32*('E Balans VL '!L8+'E Balans VL '!N8)/100/3.6*1000000</f>
        <v>618.10023596624615</v>
      </c>
      <c r="G12" s="34"/>
      <c r="H12" s="33"/>
      <c r="I12" s="33"/>
      <c r="J12" s="33">
        <f>$C$32*('E Balans VL '!D8+'E Balans VL '!E8)/100/3.6*1000000</f>
        <v>8.6554745715245723E-3</v>
      </c>
      <c r="K12" s="33"/>
      <c r="L12" s="33"/>
      <c r="M12" s="33"/>
      <c r="N12" s="33">
        <f>$C$32*'E Balans VL '!Y8/100/3.6*1000000</f>
        <v>346.11048277096137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95921.715616407717</v>
      </c>
      <c r="C16" s="21">
        <f t="shared" ca="1" si="1"/>
        <v>0</v>
      </c>
      <c r="D16" s="21">
        <f t="shared" ca="1" si="1"/>
        <v>116719.43632697119</v>
      </c>
      <c r="E16" s="21">
        <f t="shared" si="1"/>
        <v>1348.4472038196391</v>
      </c>
      <c r="F16" s="21">
        <f t="shared" ca="1" si="1"/>
        <v>16755.244933689988</v>
      </c>
      <c r="G16" s="21">
        <f t="shared" si="1"/>
        <v>0</v>
      </c>
      <c r="H16" s="21">
        <f t="shared" si="1"/>
        <v>0</v>
      </c>
      <c r="I16" s="21">
        <f t="shared" si="1"/>
        <v>0</v>
      </c>
      <c r="J16" s="21">
        <f t="shared" si="1"/>
        <v>0.29406325041565157</v>
      </c>
      <c r="K16" s="21">
        <f t="shared" si="1"/>
        <v>0</v>
      </c>
      <c r="L16" s="21">
        <f t="shared" ca="1" si="1"/>
        <v>0</v>
      </c>
      <c r="M16" s="21">
        <f t="shared" si="1"/>
        <v>0</v>
      </c>
      <c r="N16" s="21">
        <f t="shared" ca="1" si="1"/>
        <v>11656.027695338813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0.21667619325830201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20783.952190568645</v>
      </c>
      <c r="C20" s="23">
        <f t="shared" ref="C20:P20" ca="1" si="2">C16*C18</f>
        <v>0</v>
      </c>
      <c r="D20" s="23">
        <f t="shared" ca="1" si="2"/>
        <v>23577.326138048182</v>
      </c>
      <c r="E20" s="23">
        <f t="shared" si="2"/>
        <v>306.0975152670581</v>
      </c>
      <c r="F20" s="23">
        <f t="shared" ca="1" si="2"/>
        <v>4473.6503972952269</v>
      </c>
      <c r="G20" s="23">
        <f t="shared" si="2"/>
        <v>0</v>
      </c>
      <c r="H20" s="23">
        <f t="shared" si="2"/>
        <v>0</v>
      </c>
      <c r="I20" s="23">
        <f t="shared" si="2"/>
        <v>0</v>
      </c>
      <c r="J20" s="23">
        <f t="shared" si="2"/>
        <v>0.10409839064714065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28342.604016571499</v>
      </c>
      <c r="C26" s="39">
        <f>IF(ISERROR(B26*3.6/1000000/'E Balans VL '!Z12*100),0,B26*3.6/1000000/'E Balans VL '!Z12*100)</f>
        <v>0.59911775059889494</v>
      </c>
      <c r="D26" s="237" t="s">
        <v>754</v>
      </c>
      <c r="F26" s="6"/>
    </row>
    <row r="27" spans="1:18">
      <c r="A27" s="231" t="s">
        <v>53</v>
      </c>
      <c r="B27" s="33">
        <f>IF(ISERROR(TER_horeca_ele_kWh/1000),0,TER_horeca_ele_kWh/1000)</f>
        <v>17396.723832023399</v>
      </c>
      <c r="C27" s="39">
        <f>IF(ISERROR(B27*3.6/1000000/'E Balans VL '!Z9*100),0,B27*3.6/1000000/'E Balans VL '!Z9*100)</f>
        <v>1.3713772555884076</v>
      </c>
      <c r="D27" s="237" t="s">
        <v>754</v>
      </c>
      <c r="F27" s="6"/>
    </row>
    <row r="28" spans="1:18">
      <c r="A28" s="171" t="s">
        <v>52</v>
      </c>
      <c r="B28" s="33">
        <f>IF(ISERROR(TER_handel_ele_kWh/1000),0,TER_handel_ele_kWh/1000)</f>
        <v>28519.060001370901</v>
      </c>
      <c r="C28" s="39">
        <f>IF(ISERROR(B28*3.6/1000000/'E Balans VL '!Z13*100),0,B28*3.6/1000000/'E Balans VL '!Z13*100)</f>
        <v>0.82773835115440442</v>
      </c>
      <c r="D28" s="237" t="s">
        <v>754</v>
      </c>
      <c r="F28" s="6"/>
    </row>
    <row r="29" spans="1:18">
      <c r="A29" s="231" t="s">
        <v>51</v>
      </c>
      <c r="B29" s="33">
        <f>IF(ISERROR(TER_gezond_ele_kWh/1000),0,TER_gezond_ele_kWh/1000)</f>
        <v>4647.3777814221803</v>
      </c>
      <c r="C29" s="39">
        <f>IF(ISERROR(B29*3.6/1000000/'E Balans VL '!Z10*100),0,B29*3.6/1000000/'E Balans VL '!Z10*100)</f>
        <v>0.48944519234126721</v>
      </c>
      <c r="D29" s="237" t="s">
        <v>754</v>
      </c>
      <c r="F29" s="6"/>
    </row>
    <row r="30" spans="1:18">
      <c r="A30" s="231" t="s">
        <v>50</v>
      </c>
      <c r="B30" s="33">
        <f>IF(ISERROR(TER_ander_ele_kWh/1000),0,TER_ander_ele_kWh/1000)</f>
        <v>13148.7479278138</v>
      </c>
      <c r="C30" s="39">
        <f>IF(ISERROR(B30*3.6/1000000/'E Balans VL '!Z14*100),0,B30*3.6/1000000/'E Balans VL '!Z14*100)</f>
        <v>0.96985450304938947</v>
      </c>
      <c r="D30" s="237" t="s">
        <v>754</v>
      </c>
      <c r="F30" s="6"/>
    </row>
    <row r="31" spans="1:18">
      <c r="A31" s="231" t="s">
        <v>55</v>
      </c>
      <c r="B31" s="33">
        <f>IF(ISERROR(TER_onderwijs_ele_kWh/1000),0,TER_onderwijs_ele_kWh/1000)</f>
        <v>292.812477863732</v>
      </c>
      <c r="C31" s="39">
        <f>IF(ISERROR(B31*3.6/1000000/'E Balans VL '!Z11*100),0,B31*3.6/1000000/'E Balans VL '!Z11*100)</f>
        <v>7.2719054397799784E-2</v>
      </c>
      <c r="D31" s="237" t="s">
        <v>754</v>
      </c>
    </row>
    <row r="32" spans="1:18">
      <c r="A32" s="231" t="s">
        <v>260</v>
      </c>
      <c r="B32" s="33">
        <f>IF(ISERROR(TER_rest_ele_kWh/1000),0,TER_rest_ele_kWh/1000)</f>
        <v>3574.3895793421998</v>
      </c>
      <c r="C32" s="39">
        <f>IF(ISERROR(B32*3.6/1000000/'E Balans VL '!Z8*100),0,B32*3.6/1000000/'E Balans VL '!Z8*100)</f>
        <v>2.9412481718112692E-2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8413.2239910865592</v>
      </c>
      <c r="C5" s="17">
        <f>IF(ISERROR('Eigen informatie GS &amp; warmtenet'!B59),0,'Eigen informatie GS &amp; warmtenet'!B59)</f>
        <v>0</v>
      </c>
      <c r="D5" s="30">
        <f>SUM(D6:D15)</f>
        <v>10062.328638688445</v>
      </c>
      <c r="E5" s="17">
        <f>SUM(E6:E15)</f>
        <v>1590.8064024498017</v>
      </c>
      <c r="F5" s="17">
        <f>SUM(F6:F15)</f>
        <v>4547.9945803713335</v>
      </c>
      <c r="G5" s="18"/>
      <c r="H5" s="17"/>
      <c r="I5" s="17"/>
      <c r="J5" s="17">
        <f>SUM(J6:J15)</f>
        <v>2.4984876136723404</v>
      </c>
      <c r="K5" s="17"/>
      <c r="L5" s="17"/>
      <c r="M5" s="17"/>
      <c r="N5" s="17">
        <f>SUM(N6:N15)</f>
        <v>2255.280407808566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201.49060497520702</v>
      </c>
      <c r="C8" s="33"/>
      <c r="D8" s="37">
        <f>IF( ISERROR(IND_metaal_Gas_kWH/1000),0,IND_metaal_Gas_kWH/1000)*0.902</f>
        <v>24.058047303748737</v>
      </c>
      <c r="E8" s="33">
        <f>C30*'E Balans VL '!I18/100/3.6*1000000</f>
        <v>1.8525115112700772</v>
      </c>
      <c r="F8" s="33">
        <f>C30*'E Balans VL '!L18/100/3.6*1000000+C30*'E Balans VL '!N18/100/3.6*1000000</f>
        <v>18.89311044538978</v>
      </c>
      <c r="G8" s="34"/>
      <c r="H8" s="33"/>
      <c r="I8" s="33"/>
      <c r="J8" s="40">
        <f>C30*'E Balans VL '!D18/100/3.6*1000000+C30*'E Balans VL '!E18/100/3.6*1000000</f>
        <v>0</v>
      </c>
      <c r="K8" s="33"/>
      <c r="L8" s="33"/>
      <c r="M8" s="33"/>
      <c r="N8" s="33">
        <f>C30*'E Balans VL '!Y18/100/3.6*1000000</f>
        <v>2.8745964572180704</v>
      </c>
      <c r="O8" s="33"/>
      <c r="P8" s="33"/>
      <c r="R8" s="32"/>
    </row>
    <row r="9" spans="1:18">
      <c r="A9" s="6" t="s">
        <v>33</v>
      </c>
      <c r="B9" s="37">
        <f t="shared" si="0"/>
        <v>5288.2174971738195</v>
      </c>
      <c r="C9" s="33"/>
      <c r="D9" s="37">
        <f>IF( ISERROR(IND_andere_gas_kWh/1000),0,IND_andere_gas_kWh/1000)*0.902</f>
        <v>6789.3692377431153</v>
      </c>
      <c r="E9" s="33">
        <f>C31*'E Balans VL '!I19/100/3.6*1000000</f>
        <v>1545.8489238757597</v>
      </c>
      <c r="F9" s="33">
        <f>C31*'E Balans VL '!L19/100/3.6*1000000+C31*'E Balans VL '!N19/100/3.6*1000000</f>
        <v>4249.4830402634852</v>
      </c>
      <c r="G9" s="34"/>
      <c r="H9" s="33"/>
      <c r="I9" s="33"/>
      <c r="J9" s="40">
        <f>C31*'E Balans VL '!D19/100/3.6*1000000+C31*'E Balans VL '!E19/100/3.6*1000000</f>
        <v>0</v>
      </c>
      <c r="K9" s="33"/>
      <c r="L9" s="33"/>
      <c r="M9" s="33"/>
      <c r="N9" s="33">
        <f>C31*'E Balans VL '!Y19/100/3.6*1000000</f>
        <v>1747.3090755047826</v>
      </c>
      <c r="O9" s="33"/>
      <c r="P9" s="33"/>
      <c r="R9" s="32"/>
    </row>
    <row r="10" spans="1:18">
      <c r="A10" s="6" t="s">
        <v>41</v>
      </c>
      <c r="B10" s="37">
        <f t="shared" si="0"/>
        <v>2079.4308995234101</v>
      </c>
      <c r="C10" s="33"/>
      <c r="D10" s="37">
        <f>IF( ISERROR(IND_voed_gas_kWh/1000),0,IND_voed_gas_kWh/1000)*0.902</f>
        <v>1934.4246299627539</v>
      </c>
      <c r="E10" s="33">
        <f>C32*'E Balans VL '!I20/100/3.6*1000000</f>
        <v>4.3990683098997403</v>
      </c>
      <c r="F10" s="33">
        <f>C32*'E Balans VL '!L20/100/3.6*1000000+C32*'E Balans VL '!N20/100/3.6*1000000</f>
        <v>132.21234066807469</v>
      </c>
      <c r="G10" s="34"/>
      <c r="H10" s="33"/>
      <c r="I10" s="33"/>
      <c r="J10" s="40">
        <f>C32*'E Balans VL '!D20/100/3.6*1000000+C32*'E Balans VL '!E20/100/3.6*1000000</f>
        <v>0</v>
      </c>
      <c r="K10" s="33"/>
      <c r="L10" s="33"/>
      <c r="M10" s="33"/>
      <c r="N10" s="33">
        <f>C32*'E Balans VL '!Y20/100/3.6*1000000</f>
        <v>143.50125239263738</v>
      </c>
      <c r="O10" s="33"/>
      <c r="P10" s="33"/>
      <c r="R10" s="32"/>
    </row>
    <row r="11" spans="1:18">
      <c r="A11" s="6" t="s">
        <v>40</v>
      </c>
      <c r="B11" s="37">
        <f t="shared" si="0"/>
        <v>79.916626015584697</v>
      </c>
      <c r="C11" s="33"/>
      <c r="D11" s="37">
        <f>IF( ISERROR(IND_textiel_gas_kWh/1000),0,IND_textiel_gas_kWh/1000)*0.902</f>
        <v>124.60635705058768</v>
      </c>
      <c r="E11" s="33">
        <f>C33*'E Balans VL '!I21/100/3.6*1000000</f>
        <v>0.23734548912854619</v>
      </c>
      <c r="F11" s="33">
        <f>C33*'E Balans VL '!L21/100/3.6*1000000+C33*'E Balans VL '!N21/100/3.6*1000000</f>
        <v>8.0737732679439969</v>
      </c>
      <c r="G11" s="34"/>
      <c r="H11" s="33"/>
      <c r="I11" s="33"/>
      <c r="J11" s="40">
        <f>C33*'E Balans VL '!D21/100/3.6*1000000+C33*'E Balans VL '!E21/100/3.6*1000000</f>
        <v>0</v>
      </c>
      <c r="K11" s="33"/>
      <c r="L11" s="33"/>
      <c r="M11" s="33"/>
      <c r="N11" s="33">
        <f>C33*'E Balans VL '!Y21/100/3.6*1000000</f>
        <v>4.4076569670236783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69.254985121438992</v>
      </c>
      <c r="C13" s="33"/>
      <c r="D13" s="37">
        <f>IF( ISERROR(IND_papier_gas_kWh/1000),0,IND_papier_gas_kWh/1000)*0.902</f>
        <v>153.29712697942952</v>
      </c>
      <c r="E13" s="33">
        <f>C35*'E Balans VL '!I23/100/3.6*1000000</f>
        <v>9.8256985395178562E-2</v>
      </c>
      <c r="F13" s="33">
        <f>C35*'E Balans VL '!L23/100/3.6*1000000+C35*'E Balans VL '!N23/100/3.6*1000000</f>
        <v>1.6907746023485206</v>
      </c>
      <c r="G13" s="34"/>
      <c r="H13" s="33"/>
      <c r="I13" s="33"/>
      <c r="J13" s="40">
        <f>C35*'E Balans VL '!D23/100/3.6*1000000+C35*'E Balans VL '!E23/100/3.6*1000000</f>
        <v>1.0710933654452725E-2</v>
      </c>
      <c r="K13" s="33"/>
      <c r="L13" s="33"/>
      <c r="M13" s="33"/>
      <c r="N13" s="33">
        <f>C35*'E Balans VL '!Y23/100/3.6*1000000</f>
        <v>201.30784796701252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694.91337827710004</v>
      </c>
      <c r="C15" s="33"/>
      <c r="D15" s="37">
        <f>IF( ISERROR(IND_rest_gas_kWh/1000),0,IND_rest_gas_kWh/1000)*0.902</f>
        <v>1036.5732396488088</v>
      </c>
      <c r="E15" s="33">
        <f>C37*'E Balans VL '!I15/100/3.6*1000000</f>
        <v>38.370296278348455</v>
      </c>
      <c r="F15" s="33">
        <f>C37*'E Balans VL '!L15/100/3.6*1000000+C37*'E Balans VL '!N15/100/3.6*1000000</f>
        <v>137.64154112409139</v>
      </c>
      <c r="G15" s="34"/>
      <c r="H15" s="33"/>
      <c r="I15" s="33"/>
      <c r="J15" s="40">
        <f>C37*'E Balans VL '!D15/100/3.6*1000000+C37*'E Balans VL '!E15/100/3.6*1000000</f>
        <v>2.4877766800178875</v>
      </c>
      <c r="K15" s="33"/>
      <c r="L15" s="33"/>
      <c r="M15" s="33"/>
      <c r="N15" s="33">
        <f>C37*'E Balans VL '!Y15/100/3.6*1000000</f>
        <v>155.87997851989178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8413.2239910865592</v>
      </c>
      <c r="C18" s="21">
        <f>C5+C16</f>
        <v>0</v>
      </c>
      <c r="D18" s="21">
        <f>MAX((D5+D16),0)</f>
        <v>10062.328638688445</v>
      </c>
      <c r="E18" s="21">
        <f>MAX((E5+E16),0)</f>
        <v>1590.8064024498017</v>
      </c>
      <c r="F18" s="21">
        <f>MAX((F5+F16),0)</f>
        <v>4547.9945803713335</v>
      </c>
      <c r="G18" s="21"/>
      <c r="H18" s="21"/>
      <c r="I18" s="21"/>
      <c r="J18" s="21">
        <f>MAX((J5+J16),0)</f>
        <v>2.4984876136723404</v>
      </c>
      <c r="K18" s="21"/>
      <c r="L18" s="21">
        <f>MAX((L5+L16),0)</f>
        <v>0</v>
      </c>
      <c r="M18" s="21"/>
      <c r="N18" s="21">
        <f>MAX((N5+N16),0)</f>
        <v>2255.280407808566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0.21667619325830201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1822.9453474180543</v>
      </c>
      <c r="C22" s="23">
        <f ca="1">C18*C20</f>
        <v>0</v>
      </c>
      <c r="D22" s="23">
        <f>D18*D20</f>
        <v>2032.590385015066</v>
      </c>
      <c r="E22" s="23">
        <f>E18*E20</f>
        <v>361.11305335610501</v>
      </c>
      <c r="F22" s="23">
        <f>F18*F20</f>
        <v>1214.3145529591461</v>
      </c>
      <c r="G22" s="23"/>
      <c r="H22" s="23"/>
      <c r="I22" s="23"/>
      <c r="J22" s="23">
        <f>J18*J20</f>
        <v>0.88446461524000841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201.49060497520702</v>
      </c>
      <c r="C30" s="39">
        <f>IF(ISERROR(B30*3.6/1000000/'E Balans VL '!Z18*100),0,B30*3.6/1000000/'E Balans VL '!Z18*100)</f>
        <v>1.141898923964792E-2</v>
      </c>
      <c r="D30" s="237" t="s">
        <v>754</v>
      </c>
    </row>
    <row r="31" spans="1:18">
      <c r="A31" s="6" t="s">
        <v>33</v>
      </c>
      <c r="B31" s="37">
        <f>IF( ISERROR(IND_ander_ele_kWh/1000),0,IND_ander_ele_kWh/1000)</f>
        <v>5288.2174971738195</v>
      </c>
      <c r="C31" s="39">
        <f>IF(ISERROR(B31*3.6/1000000/'E Balans VL '!Z19*100),0,B31*3.6/1000000/'E Balans VL '!Z19*100)</f>
        <v>0.23985152591739331</v>
      </c>
      <c r="D31" s="237" t="s">
        <v>754</v>
      </c>
    </row>
    <row r="32" spans="1:18">
      <c r="A32" s="171" t="s">
        <v>41</v>
      </c>
      <c r="B32" s="37">
        <f>IF( ISERROR(IND_voed_ele_kWh/1000),0,IND_voed_ele_kWh/1000)</f>
        <v>2079.4308995234101</v>
      </c>
      <c r="C32" s="39">
        <f>IF(ISERROR(B32*3.6/1000000/'E Balans VL '!Z20*100),0,B32*3.6/1000000/'E Balans VL '!Z20*100)</f>
        <v>6.4326237541487113E-2</v>
      </c>
      <c r="D32" s="237" t="s">
        <v>754</v>
      </c>
    </row>
    <row r="33" spans="1:5">
      <c r="A33" s="171" t="s">
        <v>40</v>
      </c>
      <c r="B33" s="37">
        <f>IF( ISERROR(IND_textiel_ele_kWh/1000),0,IND_textiel_ele_kWh/1000)</f>
        <v>79.916626015584697</v>
      </c>
      <c r="C33" s="39">
        <f>IF(ISERROR(B33*3.6/1000000/'E Balans VL '!Z21*100),0,B33*3.6/1000000/'E Balans VL '!Z21*100)</f>
        <v>1.042023971390078E-2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69.254985121438992</v>
      </c>
      <c r="C35" s="39">
        <f>IF(ISERROR(B35*3.6/1000000/'E Balans VL '!Z22*100),0,B35*3.6/1000000/'E Balans VL '!Z22*100)</f>
        <v>1.2456811092696042E-2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694.91337827710004</v>
      </c>
      <c r="C37" s="39">
        <f>IF(ISERROR(B37*3.6/1000000/'E Balans VL '!Z15*100),0,B37*3.6/1000000/'E Balans VL '!Z15*100)</f>
        <v>5.5080419576402986E-3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2005.4170676372737</v>
      </c>
      <c r="C5" s="17">
        <f>'Eigen informatie GS &amp; warmtenet'!B60</f>
        <v>0</v>
      </c>
      <c r="D5" s="30">
        <f>IF(ISERROR(SUM(LB_lb_gas_kWh,LB_rest_gas_kWh,onbekend_gas_kWh)/1000),0,SUM(LB_lb_gas_kWh,LB_rest_gas_kWh,onbekend_gas_kWh)/1000)*0.902</f>
        <v>50495.596183674097</v>
      </c>
      <c r="E5" s="17">
        <f>B17*'E Balans VL '!I25/3.6*1000000/100</f>
        <v>58.94533286856965</v>
      </c>
      <c r="F5" s="17">
        <f>B17*('E Balans VL '!L25/3.6*1000000+'E Balans VL '!N25/3.6*1000000)/100</f>
        <v>8354.4591367264802</v>
      </c>
      <c r="G5" s="18"/>
      <c r="H5" s="17"/>
      <c r="I5" s="17"/>
      <c r="J5" s="17">
        <f>('E Balans VL '!D25+'E Balans VL '!E25)/3.6*1000000*landbouw!B17/100</f>
        <v>290.54186627613234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2005.4170676372737</v>
      </c>
      <c r="C8" s="21">
        <f>C5+C6</f>
        <v>0</v>
      </c>
      <c r="D8" s="21">
        <f>MAX((D5+D6),0)</f>
        <v>50495.596183674097</v>
      </c>
      <c r="E8" s="21">
        <f>MAX((E5+E6),0)</f>
        <v>58.94533286856965</v>
      </c>
      <c r="F8" s="21">
        <f>MAX((F5+F6),0)</f>
        <v>8354.4591367264802</v>
      </c>
      <c r="G8" s="21"/>
      <c r="H8" s="21"/>
      <c r="I8" s="21"/>
      <c r="J8" s="21">
        <f>MAX((J5+J6),0)</f>
        <v>290.54186627613234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0.21667619325830201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434.52613611087122</v>
      </c>
      <c r="C12" s="23">
        <f ca="1">C8*C10</f>
        <v>0</v>
      </c>
      <c r="D12" s="23">
        <f>D8*D10</f>
        <v>10200.110429102167</v>
      </c>
      <c r="E12" s="23">
        <f>E8*E10</f>
        <v>13.380590561165311</v>
      </c>
      <c r="F12" s="23">
        <f>F8*F10</f>
        <v>2230.6405895059702</v>
      </c>
      <c r="G12" s="23"/>
      <c r="H12" s="23"/>
      <c r="I12" s="23"/>
      <c r="J12" s="23">
        <f>J8*J10</f>
        <v>102.85182066175084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0.28457497370189838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367.99346225020366</v>
      </c>
      <c r="C26" s="247">
        <f>B26*'GWP N2O_CH4'!B5</f>
        <v>7727.8627072542768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67.057497358212075</v>
      </c>
      <c r="C27" s="247">
        <f>B27*'GWP N2O_CH4'!B5</f>
        <v>1408.2074445224537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5.0533861693357194</v>
      </c>
      <c r="C28" s="247">
        <f>B28*'GWP N2O_CH4'!B4</f>
        <v>1566.549712494073</v>
      </c>
      <c r="D28" s="50"/>
    </row>
    <row r="29" spans="1:4">
      <c r="A29" s="41" t="s">
        <v>277</v>
      </c>
      <c r="B29" s="247">
        <f>B34*'ha_N2O bodem landbouw'!B4</f>
        <v>22.199617505704936</v>
      </c>
      <c r="C29" s="247">
        <f>B29*'GWP N2O_CH4'!B4</f>
        <v>6881.8814267685302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5.0658762115165339E-3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1.9856616955161061E-4</v>
      </c>
      <c r="C5" s="463" t="s">
        <v>211</v>
      </c>
      <c r="D5" s="448">
        <f>SUM(D6:D11)</f>
        <v>6.9319665625975279E-4</v>
      </c>
      <c r="E5" s="448">
        <f>SUM(E6:E11)</f>
        <v>9.2448902646595716E-4</v>
      </c>
      <c r="F5" s="461" t="s">
        <v>211</v>
      </c>
      <c r="G5" s="448">
        <f>SUM(G6:G11)</f>
        <v>0.3594122251125359</v>
      </c>
      <c r="H5" s="448">
        <f>SUM(H6:H11)</f>
        <v>7.8151438719302163E-2</v>
      </c>
      <c r="I5" s="463" t="s">
        <v>211</v>
      </c>
      <c r="J5" s="463" t="s">
        <v>211</v>
      </c>
      <c r="K5" s="463" t="s">
        <v>211</v>
      </c>
      <c r="L5" s="463" t="s">
        <v>211</v>
      </c>
      <c r="M5" s="448">
        <f>SUM(M6:M11)</f>
        <v>2.3318375866391787E-2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1.5673695498948101E-4</v>
      </c>
      <c r="C6" s="449"/>
      <c r="D6" s="962">
        <f>vkm_2011_GW_PW*SUMIFS(TableVerdeelsleutelVkm[CNG],TableVerdeelsleutelVkm[Voertuigtype],"Lichte voertuigen")*SUMIFS(TableECFTransport[EnergieConsumptieFactor (PJ per km)],TableECFTransport[Index],CONCATENATE($A6,"_CNG_CNG"))</f>
        <v>4.7012090613902301E-4</v>
      </c>
      <c r="E6" s="962">
        <f>vkm_2011_GW_PW*SUMIFS(TableVerdeelsleutelVkm[LPG],TableVerdeelsleutelVkm[Voertuigtype],"Lichte voertuigen")*SUMIFS(TableECFTransport[EnergieConsumptieFactor (PJ per km)],TableECFTransport[Index],CONCATENATE($A6,"_LPG_LPG"))</f>
        <v>6.4225268732606429E-4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0.16605710362173601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5.3461491222369158E-2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1.128853723060836E-2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0.11101160675805639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3.3828164178141733E-5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6.4871496848330204E-3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4.1829214562129615E-5</v>
      </c>
      <c r="C8" s="449"/>
      <c r="D8" s="451">
        <f>vkm_2011_NGW_PW*SUMIFS(TableVerdeelsleutelVkm[CNG],TableVerdeelsleutelVkm[Voertuigtype],"Lichte voertuigen")*SUMIFS(TableECFTransport[EnergieConsumptieFactor (PJ per km)],TableECFTransport[Index],CONCATENATE($A8,"_CNG_CNG"))</f>
        <v>2.2307575012072973E-4</v>
      </c>
      <c r="E8" s="451">
        <f>vkm_2011_NGW_PW*SUMIFS(TableVerdeelsleutelVkm[LPG],TableVerdeelsleutelVkm[Voertuigtype],"Lichte voertuigen")*SUMIFS(TableECFTransport[EnergieConsumptieFactor (PJ per km)],TableECFTransport[Index],CONCATENATE($A8,"_LPG_LPG"))</f>
        <v>2.8223633913989282E-4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6.8003468376861678E-2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2.465200555289012E-2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4.7047118539248209E-3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1.4340046355881795E-2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4.1137798647422161E-6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8.3797709702558565E-4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55.157269319891832</v>
      </c>
      <c r="C14" s="21"/>
      <c r="D14" s="21">
        <f t="shared" ref="D14:M14" si="0">((D5)*10^9/3600)+D12</f>
        <v>192.55462673882022</v>
      </c>
      <c r="E14" s="21">
        <f t="shared" si="0"/>
        <v>256.80250735165475</v>
      </c>
      <c r="F14" s="21"/>
      <c r="G14" s="21">
        <f t="shared" si="0"/>
        <v>99836.72919792663</v>
      </c>
      <c r="H14" s="21">
        <f t="shared" si="0"/>
        <v>21708.732977583935</v>
      </c>
      <c r="I14" s="21"/>
      <c r="J14" s="21"/>
      <c r="K14" s="21"/>
      <c r="L14" s="21"/>
      <c r="M14" s="21">
        <f t="shared" si="0"/>
        <v>6477.326629553274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0.21667619325830201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11.951267146757095</v>
      </c>
      <c r="C18" s="23"/>
      <c r="D18" s="23">
        <f t="shared" ref="D18:M18" si="1">D14*D16</f>
        <v>38.896034601241688</v>
      </c>
      <c r="E18" s="23">
        <f t="shared" si="1"/>
        <v>58.294169168825633</v>
      </c>
      <c r="F18" s="23"/>
      <c r="G18" s="23">
        <f t="shared" si="1"/>
        <v>26656.40669584641</v>
      </c>
      <c r="H18" s="23">
        <f t="shared" si="1"/>
        <v>5405.4745114183997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2.2733781363591002E-3</v>
      </c>
      <c r="C50" s="321">
        <f t="shared" ref="C50:P50" si="2">SUM(C51:C52)</f>
        <v>0</v>
      </c>
      <c r="D50" s="321">
        <f t="shared" si="2"/>
        <v>0</v>
      </c>
      <c r="E50" s="321">
        <f t="shared" si="2"/>
        <v>0</v>
      </c>
      <c r="F50" s="321">
        <f t="shared" si="2"/>
        <v>0</v>
      </c>
      <c r="G50" s="321">
        <f t="shared" si="2"/>
        <v>5.5191216580249558E-3</v>
      </c>
      <c r="H50" s="321">
        <f t="shared" si="2"/>
        <v>0</v>
      </c>
      <c r="I50" s="321">
        <f t="shared" si="2"/>
        <v>0</v>
      </c>
      <c r="J50" s="321">
        <f t="shared" si="2"/>
        <v>0</v>
      </c>
      <c r="K50" s="321">
        <f t="shared" si="2"/>
        <v>0</v>
      </c>
      <c r="L50" s="321">
        <f t="shared" si="2"/>
        <v>0</v>
      </c>
      <c r="M50" s="321">
        <f t="shared" si="2"/>
        <v>3.1346174559168243E-4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5.5191216580249558E-3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3.1346174559168243E-4</v>
      </c>
      <c r="N51" s="323"/>
      <c r="O51" s="323"/>
      <c r="P51" s="326"/>
    </row>
    <row r="52" spans="1:18">
      <c r="A52" s="4" t="s">
        <v>330</v>
      </c>
      <c r="B52" s="963">
        <f>vkm_2011_tram*SUMIFS(TableECFTransport[EnergieConsumptieFactor (PJ per km)],TableECFTransport[Index],"Tram_gemiddeld_Electric_Electric")</f>
        <v>2.2733781363591002E-3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631.49392676641673</v>
      </c>
      <c r="C54" s="21">
        <f t="shared" ref="C54:P54" si="3">(C50)*10^9/3600</f>
        <v>0</v>
      </c>
      <c r="D54" s="21">
        <f t="shared" si="3"/>
        <v>0</v>
      </c>
      <c r="E54" s="21">
        <f t="shared" si="3"/>
        <v>0</v>
      </c>
      <c r="F54" s="21">
        <f t="shared" si="3"/>
        <v>0</v>
      </c>
      <c r="G54" s="21">
        <f t="shared" si="3"/>
        <v>1533.0893494513766</v>
      </c>
      <c r="H54" s="21">
        <f t="shared" si="3"/>
        <v>0</v>
      </c>
      <c r="I54" s="21">
        <f t="shared" si="3"/>
        <v>0</v>
      </c>
      <c r="J54" s="21">
        <f t="shared" si="3"/>
        <v>0</v>
      </c>
      <c r="K54" s="21">
        <f t="shared" si="3"/>
        <v>0</v>
      </c>
      <c r="L54" s="21">
        <f t="shared" si="3"/>
        <v>0</v>
      </c>
      <c r="M54" s="21">
        <f t="shared" si="3"/>
        <v>87.072707108800671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0.21667619325830201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136.82970011748412</v>
      </c>
      <c r="C58" s="23">
        <f t="shared" ref="C58:P58" ca="1" si="4">C54*C56</f>
        <v>0</v>
      </c>
      <c r="D58" s="23">
        <f t="shared" si="4"/>
        <v>0</v>
      </c>
      <c r="E58" s="23">
        <f t="shared" si="4"/>
        <v>0</v>
      </c>
      <c r="F58" s="23">
        <f t="shared" si="4"/>
        <v>0</v>
      </c>
      <c r="G58" s="23">
        <f t="shared" si="4"/>
        <v>409.3348563035176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3435.5901101029431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3435.5901101029431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99021.656616407723</v>
      </c>
      <c r="D10" s="718">
        <f ca="1">tertiair!C16</f>
        <v>0</v>
      </c>
      <c r="E10" s="718">
        <f ca="1">tertiair!D16</f>
        <v>116719.43632697119</v>
      </c>
      <c r="F10" s="718">
        <f>tertiair!E16</f>
        <v>1348.4472038196391</v>
      </c>
      <c r="G10" s="718">
        <f ca="1">tertiair!F16</f>
        <v>16755.244933689988</v>
      </c>
      <c r="H10" s="718">
        <f>tertiair!G16</f>
        <v>0</v>
      </c>
      <c r="I10" s="718">
        <f>tertiair!H16</f>
        <v>0</v>
      </c>
      <c r="J10" s="718">
        <f>tertiair!I16</f>
        <v>0</v>
      </c>
      <c r="K10" s="718">
        <f>tertiair!J16</f>
        <v>0.29406325041565157</v>
      </c>
      <c r="L10" s="718">
        <f>tertiair!K16</f>
        <v>0</v>
      </c>
      <c r="M10" s="718">
        <f ca="1">tertiair!L16</f>
        <v>0</v>
      </c>
      <c r="N10" s="718">
        <f>tertiair!M16</f>
        <v>0</v>
      </c>
      <c r="O10" s="718">
        <f ca="1">tertiair!N16</f>
        <v>11656.027695338813</v>
      </c>
      <c r="P10" s="718">
        <f>tertiair!O16</f>
        <v>1.5633333333333335</v>
      </c>
      <c r="Q10" s="719">
        <f>tertiair!P16</f>
        <v>76.266666666666666</v>
      </c>
      <c r="R10" s="721">
        <f ca="1">SUM(C10:Q10)</f>
        <v>245578.93683947777</v>
      </c>
      <c r="S10" s="67"/>
    </row>
    <row r="11" spans="1:19" s="474" customFormat="1">
      <c r="A11" s="870" t="s">
        <v>225</v>
      </c>
      <c r="B11" s="875"/>
      <c r="C11" s="718">
        <f>huishoudens!B8</f>
        <v>65474.196066767872</v>
      </c>
      <c r="D11" s="718">
        <f>huishoudens!C8</f>
        <v>0</v>
      </c>
      <c r="E11" s="718">
        <f>huishoudens!D8</f>
        <v>206182.31304884475</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240.75333333333336</v>
      </c>
      <c r="Q11" s="719">
        <f>huishoudens!P8</f>
        <v>552.93333333333339</v>
      </c>
      <c r="R11" s="721">
        <f>SUM(C11:Q11)</f>
        <v>272450.1957822793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8413.2239910865592</v>
      </c>
      <c r="D13" s="718">
        <f>industrie!C18</f>
        <v>0</v>
      </c>
      <c r="E13" s="718">
        <f>industrie!D18</f>
        <v>10062.328638688445</v>
      </c>
      <c r="F13" s="718">
        <f>industrie!E18</f>
        <v>1590.8064024498017</v>
      </c>
      <c r="G13" s="718">
        <f>industrie!F18</f>
        <v>4547.9945803713335</v>
      </c>
      <c r="H13" s="718">
        <f>industrie!G18</f>
        <v>0</v>
      </c>
      <c r="I13" s="718">
        <f>industrie!H18</f>
        <v>0</v>
      </c>
      <c r="J13" s="718">
        <f>industrie!I18</f>
        <v>0</v>
      </c>
      <c r="K13" s="718">
        <f>industrie!J18</f>
        <v>2.4984876136723404</v>
      </c>
      <c r="L13" s="718">
        <f>industrie!K18</f>
        <v>0</v>
      </c>
      <c r="M13" s="718">
        <f>industrie!L18</f>
        <v>0</v>
      </c>
      <c r="N13" s="718">
        <f>industrie!M18</f>
        <v>0</v>
      </c>
      <c r="O13" s="718">
        <f>industrie!N18</f>
        <v>2255.280407808566</v>
      </c>
      <c r="P13" s="718">
        <f>industrie!O18</f>
        <v>0</v>
      </c>
      <c r="Q13" s="719">
        <f>industrie!P18</f>
        <v>0</v>
      </c>
      <c r="R13" s="721">
        <f>SUM(C13:Q13)</f>
        <v>26872.132508018378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172909.07667426215</v>
      </c>
      <c r="D15" s="723">
        <f t="shared" ref="D15:Q15" ca="1" si="0">SUM(D9:D14)</f>
        <v>0</v>
      </c>
      <c r="E15" s="723">
        <f t="shared" ca="1" si="0"/>
        <v>332964.0780145044</v>
      </c>
      <c r="F15" s="723">
        <f t="shared" si="0"/>
        <v>2939.2536062694408</v>
      </c>
      <c r="G15" s="723">
        <f t="shared" ca="1" si="0"/>
        <v>21303.239514061323</v>
      </c>
      <c r="H15" s="723">
        <f t="shared" si="0"/>
        <v>0</v>
      </c>
      <c r="I15" s="723">
        <f t="shared" si="0"/>
        <v>0</v>
      </c>
      <c r="J15" s="723">
        <f t="shared" si="0"/>
        <v>0</v>
      </c>
      <c r="K15" s="723">
        <f t="shared" si="0"/>
        <v>2.7925508640879921</v>
      </c>
      <c r="L15" s="723">
        <f t="shared" si="0"/>
        <v>0</v>
      </c>
      <c r="M15" s="723">
        <f t="shared" ca="1" si="0"/>
        <v>0</v>
      </c>
      <c r="N15" s="723">
        <f t="shared" si="0"/>
        <v>0</v>
      </c>
      <c r="O15" s="723">
        <f t="shared" ca="1" si="0"/>
        <v>13911.308103147379</v>
      </c>
      <c r="P15" s="723">
        <f t="shared" si="0"/>
        <v>242.31666666666669</v>
      </c>
      <c r="Q15" s="724">
        <f t="shared" si="0"/>
        <v>629.20000000000005</v>
      </c>
      <c r="R15" s="725">
        <f ca="1">SUM(R9:R14)</f>
        <v>544901.26512977551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631.49392676641673</v>
      </c>
      <c r="D18" s="718">
        <f>transport!C54</f>
        <v>0</v>
      </c>
      <c r="E18" s="718">
        <f>transport!D54</f>
        <v>0</v>
      </c>
      <c r="F18" s="718">
        <f>transport!E54</f>
        <v>0</v>
      </c>
      <c r="G18" s="718">
        <f>transport!F54</f>
        <v>0</v>
      </c>
      <c r="H18" s="718">
        <f>transport!G54</f>
        <v>1533.0893494513766</v>
      </c>
      <c r="I18" s="718">
        <f>transport!H54</f>
        <v>0</v>
      </c>
      <c r="J18" s="718">
        <f>transport!I54</f>
        <v>0</v>
      </c>
      <c r="K18" s="718">
        <f>transport!J54</f>
        <v>0</v>
      </c>
      <c r="L18" s="718">
        <f>transport!K54</f>
        <v>0</v>
      </c>
      <c r="M18" s="718">
        <f>transport!L54</f>
        <v>0</v>
      </c>
      <c r="N18" s="718">
        <f>transport!M54</f>
        <v>87.072707108800671</v>
      </c>
      <c r="O18" s="718">
        <f>transport!N54</f>
        <v>0</v>
      </c>
      <c r="P18" s="718">
        <f>transport!O54</f>
        <v>0</v>
      </c>
      <c r="Q18" s="719">
        <f>transport!P54</f>
        <v>0</v>
      </c>
      <c r="R18" s="721">
        <f>SUM(C18:Q18)</f>
        <v>2251.6559833265942</v>
      </c>
      <c r="S18" s="67"/>
    </row>
    <row r="19" spans="1:19" s="474" customFormat="1" ht="15" thickBot="1">
      <c r="A19" s="870" t="s">
        <v>307</v>
      </c>
      <c r="B19" s="875"/>
      <c r="C19" s="727">
        <f>transport!B14</f>
        <v>55.157269319891832</v>
      </c>
      <c r="D19" s="727">
        <f>transport!C14</f>
        <v>0</v>
      </c>
      <c r="E19" s="727">
        <f>transport!D14</f>
        <v>192.55462673882022</v>
      </c>
      <c r="F19" s="727">
        <f>transport!E14</f>
        <v>256.80250735165475</v>
      </c>
      <c r="G19" s="727">
        <f>transport!F14</f>
        <v>0</v>
      </c>
      <c r="H19" s="727">
        <f>transport!G14</f>
        <v>99836.72919792663</v>
      </c>
      <c r="I19" s="727">
        <f>transport!H14</f>
        <v>21708.732977583935</v>
      </c>
      <c r="J19" s="727">
        <f>transport!I14</f>
        <v>0</v>
      </c>
      <c r="K19" s="727">
        <f>transport!J14</f>
        <v>0</v>
      </c>
      <c r="L19" s="727">
        <f>transport!K14</f>
        <v>0</v>
      </c>
      <c r="M19" s="727">
        <f>transport!L14</f>
        <v>0</v>
      </c>
      <c r="N19" s="727">
        <f>transport!M14</f>
        <v>6477.326629553274</v>
      </c>
      <c r="O19" s="727">
        <f>transport!N14</f>
        <v>0</v>
      </c>
      <c r="P19" s="727">
        <f>transport!O14</f>
        <v>0</v>
      </c>
      <c r="Q19" s="728">
        <f>transport!P14</f>
        <v>0</v>
      </c>
      <c r="R19" s="729">
        <f>SUM(C19:Q19)</f>
        <v>128527.30320847422</v>
      </c>
      <c r="S19" s="67"/>
    </row>
    <row r="20" spans="1:19" s="474" customFormat="1" ht="15.75" thickBot="1">
      <c r="A20" s="730" t="s">
        <v>230</v>
      </c>
      <c r="B20" s="878"/>
      <c r="C20" s="873">
        <f>SUM(C17:C19)</f>
        <v>686.65119608630857</v>
      </c>
      <c r="D20" s="731">
        <f t="shared" ref="D20:R20" si="1">SUM(D17:D19)</f>
        <v>0</v>
      </c>
      <c r="E20" s="731">
        <f t="shared" si="1"/>
        <v>192.55462673882022</v>
      </c>
      <c r="F20" s="731">
        <f t="shared" si="1"/>
        <v>256.80250735165475</v>
      </c>
      <c r="G20" s="731">
        <f t="shared" si="1"/>
        <v>0</v>
      </c>
      <c r="H20" s="731">
        <f t="shared" si="1"/>
        <v>101369.818547378</v>
      </c>
      <c r="I20" s="731">
        <f t="shared" si="1"/>
        <v>21708.732977583935</v>
      </c>
      <c r="J20" s="731">
        <f t="shared" si="1"/>
        <v>0</v>
      </c>
      <c r="K20" s="731">
        <f t="shared" si="1"/>
        <v>0</v>
      </c>
      <c r="L20" s="731">
        <f t="shared" si="1"/>
        <v>0</v>
      </c>
      <c r="M20" s="731">
        <f t="shared" si="1"/>
        <v>0</v>
      </c>
      <c r="N20" s="731">
        <f t="shared" si="1"/>
        <v>6564.3993366620743</v>
      </c>
      <c r="O20" s="731">
        <f t="shared" si="1"/>
        <v>0</v>
      </c>
      <c r="P20" s="731">
        <f t="shared" si="1"/>
        <v>0</v>
      </c>
      <c r="Q20" s="732">
        <f t="shared" si="1"/>
        <v>0</v>
      </c>
      <c r="R20" s="733">
        <f t="shared" si="1"/>
        <v>130778.95919180081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2005.4170676372737</v>
      </c>
      <c r="D22" s="727">
        <f>+landbouw!C8</f>
        <v>0</v>
      </c>
      <c r="E22" s="727">
        <f>+landbouw!D8</f>
        <v>50495.596183674097</v>
      </c>
      <c r="F22" s="727">
        <f>+landbouw!E8</f>
        <v>58.94533286856965</v>
      </c>
      <c r="G22" s="727">
        <f>+landbouw!F8</f>
        <v>8354.4591367264802</v>
      </c>
      <c r="H22" s="727">
        <f>+landbouw!G8</f>
        <v>0</v>
      </c>
      <c r="I22" s="727">
        <f>+landbouw!H8</f>
        <v>0</v>
      </c>
      <c r="J22" s="727">
        <f>+landbouw!I8</f>
        <v>0</v>
      </c>
      <c r="K22" s="727">
        <f>+landbouw!J8</f>
        <v>290.54186627613234</v>
      </c>
      <c r="L22" s="727">
        <f>+landbouw!K8</f>
        <v>0</v>
      </c>
      <c r="M22" s="727">
        <f>+landbouw!L8</f>
        <v>0</v>
      </c>
      <c r="N22" s="727">
        <f>+landbouw!M8</f>
        <v>0</v>
      </c>
      <c r="O22" s="727">
        <f>+landbouw!N8</f>
        <v>0</v>
      </c>
      <c r="P22" s="727">
        <f>+landbouw!O8</f>
        <v>0</v>
      </c>
      <c r="Q22" s="728">
        <f>+landbouw!P8</f>
        <v>0</v>
      </c>
      <c r="R22" s="729">
        <f>SUM(C22:Q22)</f>
        <v>61204.959587182551</v>
      </c>
      <c r="S22" s="67"/>
    </row>
    <row r="23" spans="1:19" s="474" customFormat="1" ht="17.25" thickTop="1" thickBot="1">
      <c r="A23" s="734" t="s">
        <v>116</v>
      </c>
      <c r="B23" s="864"/>
      <c r="C23" s="735">
        <f ca="1">C20+C15+C22</f>
        <v>175601.14493798572</v>
      </c>
      <c r="D23" s="735">
        <f t="shared" ref="D23:Q23" ca="1" si="2">D20+D15+D22</f>
        <v>0</v>
      </c>
      <c r="E23" s="735">
        <f t="shared" ca="1" si="2"/>
        <v>383652.22882491734</v>
      </c>
      <c r="F23" s="735">
        <f t="shared" si="2"/>
        <v>3255.0014464896649</v>
      </c>
      <c r="G23" s="735">
        <f t="shared" ca="1" si="2"/>
        <v>29657.698650787803</v>
      </c>
      <c r="H23" s="735">
        <f t="shared" si="2"/>
        <v>101369.818547378</v>
      </c>
      <c r="I23" s="735">
        <f t="shared" si="2"/>
        <v>21708.732977583935</v>
      </c>
      <c r="J23" s="735">
        <f t="shared" si="2"/>
        <v>0</v>
      </c>
      <c r="K23" s="735">
        <f t="shared" si="2"/>
        <v>293.33441714022035</v>
      </c>
      <c r="L23" s="735">
        <f t="shared" si="2"/>
        <v>0</v>
      </c>
      <c r="M23" s="735">
        <f t="shared" ca="1" si="2"/>
        <v>0</v>
      </c>
      <c r="N23" s="735">
        <f t="shared" si="2"/>
        <v>6564.3993366620743</v>
      </c>
      <c r="O23" s="735">
        <f t="shared" ca="1" si="2"/>
        <v>13911.308103147379</v>
      </c>
      <c r="P23" s="735">
        <f t="shared" si="2"/>
        <v>242.31666666666669</v>
      </c>
      <c r="Q23" s="736">
        <f t="shared" si="2"/>
        <v>629.20000000000005</v>
      </c>
      <c r="R23" s="737">
        <f ca="1">R20+R15+R22</f>
        <v>736885.1839087588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21455.635605773979</v>
      </c>
      <c r="D36" s="718">
        <f ca="1">tertiair!C20</f>
        <v>0</v>
      </c>
      <c r="E36" s="718">
        <f ca="1">tertiair!D20</f>
        <v>23577.326138048182</v>
      </c>
      <c r="F36" s="718">
        <f>tertiair!E20</f>
        <v>306.0975152670581</v>
      </c>
      <c r="G36" s="718">
        <f ca="1">tertiair!F20</f>
        <v>4473.6503972952269</v>
      </c>
      <c r="H36" s="718">
        <f>tertiair!G20</f>
        <v>0</v>
      </c>
      <c r="I36" s="718">
        <f>tertiair!H20</f>
        <v>0</v>
      </c>
      <c r="J36" s="718">
        <f>tertiair!I20</f>
        <v>0</v>
      </c>
      <c r="K36" s="718">
        <f>tertiair!J20</f>
        <v>0.10409839064714065</v>
      </c>
      <c r="L36" s="718">
        <f>tertiair!K20</f>
        <v>0</v>
      </c>
      <c r="M36" s="718">
        <f ca="1">tertiair!L20</f>
        <v>0</v>
      </c>
      <c r="N36" s="718">
        <f>tertiair!M20</f>
        <v>0</v>
      </c>
      <c r="O36" s="718">
        <f ca="1">tertiair!N20</f>
        <v>0</v>
      </c>
      <c r="P36" s="718">
        <f>tertiair!O20</f>
        <v>0</v>
      </c>
      <c r="Q36" s="828">
        <f>tertiair!P20</f>
        <v>0</v>
      </c>
      <c r="R36" s="917">
        <f ca="1">SUM(C36:Q36)</f>
        <v>49812.813754775096</v>
      </c>
    </row>
    <row r="37" spans="1:18">
      <c r="A37" s="885" t="s">
        <v>225</v>
      </c>
      <c r="B37" s="892"/>
      <c r="C37" s="718">
        <f ca="1">huishoudens!B12</f>
        <v>14186.699560394953</v>
      </c>
      <c r="D37" s="718">
        <f ca="1">huishoudens!C12</f>
        <v>0</v>
      </c>
      <c r="E37" s="718">
        <f>huishoudens!D12</f>
        <v>41648.827235866644</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55835.526796261598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1822.9453474180543</v>
      </c>
      <c r="D39" s="718">
        <f ca="1">industrie!C22</f>
        <v>0</v>
      </c>
      <c r="E39" s="718">
        <f>industrie!D22</f>
        <v>2032.590385015066</v>
      </c>
      <c r="F39" s="718">
        <f>industrie!E22</f>
        <v>361.11305335610501</v>
      </c>
      <c r="G39" s="718">
        <f>industrie!F22</f>
        <v>1214.3145529591461</v>
      </c>
      <c r="H39" s="718">
        <f>industrie!G22</f>
        <v>0</v>
      </c>
      <c r="I39" s="718">
        <f>industrie!H22</f>
        <v>0</v>
      </c>
      <c r="J39" s="718">
        <f>industrie!I22</f>
        <v>0</v>
      </c>
      <c r="K39" s="718">
        <f>industrie!J22</f>
        <v>0.88446461524000841</v>
      </c>
      <c r="L39" s="718">
        <f>industrie!K22</f>
        <v>0</v>
      </c>
      <c r="M39" s="718">
        <f>industrie!L22</f>
        <v>0</v>
      </c>
      <c r="N39" s="718">
        <f>industrie!M22</f>
        <v>0</v>
      </c>
      <c r="O39" s="718">
        <f>industrie!N22</f>
        <v>0</v>
      </c>
      <c r="P39" s="718">
        <f>industrie!O22</f>
        <v>0</v>
      </c>
      <c r="Q39" s="828">
        <f>industrie!P22</f>
        <v>0</v>
      </c>
      <c r="R39" s="918">
        <f ca="1">SUM(C39:Q39)</f>
        <v>5431.847803363612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37465.280513586986</v>
      </c>
      <c r="D41" s="763">
        <f t="shared" ref="D41:R41" ca="1" si="4">SUM(D35:D40)</f>
        <v>0</v>
      </c>
      <c r="E41" s="763">
        <f t="shared" ca="1" si="4"/>
        <v>67258.743758929893</v>
      </c>
      <c r="F41" s="763">
        <f t="shared" si="4"/>
        <v>667.21056862316311</v>
      </c>
      <c r="G41" s="763">
        <f t="shared" ca="1" si="4"/>
        <v>5687.9649502543725</v>
      </c>
      <c r="H41" s="763">
        <f t="shared" si="4"/>
        <v>0</v>
      </c>
      <c r="I41" s="763">
        <f t="shared" si="4"/>
        <v>0</v>
      </c>
      <c r="J41" s="763">
        <f t="shared" si="4"/>
        <v>0</v>
      </c>
      <c r="K41" s="763">
        <f t="shared" si="4"/>
        <v>0.98856300588714907</v>
      </c>
      <c r="L41" s="763">
        <f t="shared" si="4"/>
        <v>0</v>
      </c>
      <c r="M41" s="763">
        <f t="shared" ca="1" si="4"/>
        <v>0</v>
      </c>
      <c r="N41" s="763">
        <f t="shared" si="4"/>
        <v>0</v>
      </c>
      <c r="O41" s="763">
        <f t="shared" ca="1" si="4"/>
        <v>0</v>
      </c>
      <c r="P41" s="763">
        <f t="shared" si="4"/>
        <v>0</v>
      </c>
      <c r="Q41" s="764">
        <f t="shared" si="4"/>
        <v>0</v>
      </c>
      <c r="R41" s="765">
        <f t="shared" ca="1" si="4"/>
        <v>111080.18835440031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136.82970011748412</v>
      </c>
      <c r="D44" s="718">
        <f ca="1">transport!C58</f>
        <v>0</v>
      </c>
      <c r="E44" s="718">
        <f>transport!D58</f>
        <v>0</v>
      </c>
      <c r="F44" s="718">
        <f>transport!E58</f>
        <v>0</v>
      </c>
      <c r="G44" s="718">
        <f>transport!F58</f>
        <v>0</v>
      </c>
      <c r="H44" s="718">
        <f>transport!G58</f>
        <v>409.3348563035176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546.16455642100175</v>
      </c>
    </row>
    <row r="45" spans="1:18" ht="15" thickBot="1">
      <c r="A45" s="888" t="s">
        <v>307</v>
      </c>
      <c r="B45" s="898"/>
      <c r="C45" s="727">
        <f ca="1">transport!B18</f>
        <v>11.951267146757095</v>
      </c>
      <c r="D45" s="727">
        <f>transport!C18</f>
        <v>0</v>
      </c>
      <c r="E45" s="727">
        <f>transport!D18</f>
        <v>38.896034601241688</v>
      </c>
      <c r="F45" s="727">
        <f>transport!E18</f>
        <v>58.294169168825633</v>
      </c>
      <c r="G45" s="727">
        <f>transport!F18</f>
        <v>0</v>
      </c>
      <c r="H45" s="727">
        <f>transport!G18</f>
        <v>26656.40669584641</v>
      </c>
      <c r="I45" s="727">
        <f>transport!H18</f>
        <v>5405.4745114183997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32171.022678181635</v>
      </c>
    </row>
    <row r="46" spans="1:18" ht="15.75" thickBot="1">
      <c r="A46" s="886" t="s">
        <v>230</v>
      </c>
      <c r="B46" s="899"/>
      <c r="C46" s="763">
        <f t="shared" ref="C46:R46" ca="1" si="5">SUM(C43:C45)</f>
        <v>148.78096726424121</v>
      </c>
      <c r="D46" s="763">
        <f t="shared" ca="1" si="5"/>
        <v>0</v>
      </c>
      <c r="E46" s="763">
        <f t="shared" si="5"/>
        <v>38.896034601241688</v>
      </c>
      <c r="F46" s="763">
        <f t="shared" si="5"/>
        <v>58.294169168825633</v>
      </c>
      <c r="G46" s="763">
        <f t="shared" si="5"/>
        <v>0</v>
      </c>
      <c r="H46" s="763">
        <f t="shared" si="5"/>
        <v>27065.741552149928</v>
      </c>
      <c r="I46" s="763">
        <f t="shared" si="5"/>
        <v>5405.4745114183997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32717.187234602636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434.52613611087122</v>
      </c>
      <c r="D48" s="718">
        <f ca="1">+landbouw!C12</f>
        <v>0</v>
      </c>
      <c r="E48" s="718">
        <f>+landbouw!D12</f>
        <v>10200.110429102167</v>
      </c>
      <c r="F48" s="718">
        <f>+landbouw!E12</f>
        <v>13.380590561165311</v>
      </c>
      <c r="G48" s="718">
        <f>+landbouw!F12</f>
        <v>2230.6405895059702</v>
      </c>
      <c r="H48" s="718">
        <f>+landbouw!G12</f>
        <v>0</v>
      </c>
      <c r="I48" s="718">
        <f>+landbouw!H12</f>
        <v>0</v>
      </c>
      <c r="J48" s="718">
        <f>+landbouw!I12</f>
        <v>0</v>
      </c>
      <c r="K48" s="718">
        <f>+landbouw!J12</f>
        <v>102.85182066175084</v>
      </c>
      <c r="L48" s="718">
        <f>+landbouw!K12</f>
        <v>0</v>
      </c>
      <c r="M48" s="718">
        <f>+landbouw!L12</f>
        <v>0</v>
      </c>
      <c r="N48" s="718">
        <f>+landbouw!M12</f>
        <v>0</v>
      </c>
      <c r="O48" s="718">
        <f>+landbouw!N12</f>
        <v>0</v>
      </c>
      <c r="P48" s="718">
        <f>+landbouw!O12</f>
        <v>0</v>
      </c>
      <c r="Q48" s="719">
        <f>+landbouw!P12</f>
        <v>0</v>
      </c>
      <c r="R48" s="761">
        <f ca="1">SUM(C48:Q48)</f>
        <v>12981.509565941926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38048.587616962097</v>
      </c>
      <c r="D53" s="773">
        <f t="shared" ref="D53:Q53" ca="1" si="6">D41+D46+D48</f>
        <v>0</v>
      </c>
      <c r="E53" s="773">
        <f t="shared" ca="1" si="6"/>
        <v>77497.750222633302</v>
      </c>
      <c r="F53" s="773">
        <f t="shared" si="6"/>
        <v>738.88532835315402</v>
      </c>
      <c r="G53" s="773">
        <f t="shared" ca="1" si="6"/>
        <v>7918.6055397603432</v>
      </c>
      <c r="H53" s="773">
        <f t="shared" si="6"/>
        <v>27065.741552149928</v>
      </c>
      <c r="I53" s="773">
        <f t="shared" si="6"/>
        <v>5405.4745114183997</v>
      </c>
      <c r="J53" s="773">
        <f t="shared" si="6"/>
        <v>0</v>
      </c>
      <c r="K53" s="773">
        <f t="shared" si="6"/>
        <v>103.84038366763798</v>
      </c>
      <c r="L53" s="773">
        <f t="shared" si="6"/>
        <v>0</v>
      </c>
      <c r="M53" s="773">
        <f t="shared" ca="1" si="6"/>
        <v>0</v>
      </c>
      <c r="N53" s="773">
        <f t="shared" si="6"/>
        <v>0</v>
      </c>
      <c r="O53" s="773">
        <f t="shared" ca="1" si="6"/>
        <v>0</v>
      </c>
      <c r="P53" s="773">
        <f>P41+P46+P48</f>
        <v>0</v>
      </c>
      <c r="Q53" s="774">
        <f t="shared" si="6"/>
        <v>0</v>
      </c>
      <c r="R53" s="775">
        <f ca="1">R41+R46+R48</f>
        <v>156778.88515494487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0.21667619325830201</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3435.5901101029431</v>
      </c>
      <c r="C66" s="795">
        <f>'lokale energieproductie'!B6</f>
        <v>3435.5901101029431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3435.5901101029431</v>
      </c>
      <c r="C69" s="803">
        <f>SUM(C64:C68)</f>
        <v>3435.5901101029431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65474.196066767872</v>
      </c>
      <c r="C4" s="478">
        <f>huishoudens!C8</f>
        <v>0</v>
      </c>
      <c r="D4" s="478">
        <f>huishoudens!D8</f>
        <v>206182.31304884475</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240.75333333333336</v>
      </c>
      <c r="P4" s="479">
        <f>huishoudens!P8</f>
        <v>552.93333333333339</v>
      </c>
      <c r="Q4" s="480">
        <f>SUM(B4:P4)</f>
        <v>272450.1957822793</v>
      </c>
    </row>
    <row r="5" spans="1:17">
      <c r="A5" s="477" t="s">
        <v>156</v>
      </c>
      <c r="B5" s="478">
        <f ca="1">tertiair!B16</f>
        <v>95921.715616407717</v>
      </c>
      <c r="C5" s="478">
        <f ca="1">tertiair!C16</f>
        <v>0</v>
      </c>
      <c r="D5" s="478">
        <f ca="1">tertiair!D16</f>
        <v>116719.43632697119</v>
      </c>
      <c r="E5" s="478">
        <f>tertiair!E16</f>
        <v>1348.4472038196391</v>
      </c>
      <c r="F5" s="478">
        <f ca="1">tertiair!F16</f>
        <v>16755.244933689988</v>
      </c>
      <c r="G5" s="478">
        <f>tertiair!G16</f>
        <v>0</v>
      </c>
      <c r="H5" s="478">
        <f>tertiair!H16</f>
        <v>0</v>
      </c>
      <c r="I5" s="478">
        <f>tertiair!I16</f>
        <v>0</v>
      </c>
      <c r="J5" s="478">
        <f>tertiair!J16</f>
        <v>0.29406325041565157</v>
      </c>
      <c r="K5" s="478">
        <f>tertiair!K16</f>
        <v>0</v>
      </c>
      <c r="L5" s="478">
        <f ca="1">tertiair!L16</f>
        <v>0</v>
      </c>
      <c r="M5" s="478">
        <f>tertiair!M16</f>
        <v>0</v>
      </c>
      <c r="N5" s="478">
        <f ca="1">tertiair!N16</f>
        <v>11656.027695338813</v>
      </c>
      <c r="O5" s="478">
        <f>tertiair!O16</f>
        <v>1.5633333333333335</v>
      </c>
      <c r="P5" s="479">
        <f>tertiair!P16</f>
        <v>76.266666666666666</v>
      </c>
      <c r="Q5" s="477">
        <f t="shared" ref="Q5:Q13" ca="1" si="0">SUM(B5:P5)</f>
        <v>242478.99583947778</v>
      </c>
    </row>
    <row r="6" spans="1:17">
      <c r="A6" s="477" t="s">
        <v>194</v>
      </c>
      <c r="B6" s="478">
        <f>'openbare verlichting'!B8</f>
        <v>3099.9409999999998</v>
      </c>
      <c r="C6" s="478"/>
      <c r="D6" s="478"/>
      <c r="E6" s="478"/>
      <c r="F6" s="478"/>
      <c r="G6" s="478"/>
      <c r="H6" s="478"/>
      <c r="I6" s="478"/>
      <c r="J6" s="478"/>
      <c r="K6" s="478"/>
      <c r="L6" s="478"/>
      <c r="M6" s="478"/>
      <c r="N6" s="478"/>
      <c r="O6" s="478"/>
      <c r="P6" s="479"/>
      <c r="Q6" s="477">
        <f t="shared" si="0"/>
        <v>3099.9409999999998</v>
      </c>
    </row>
    <row r="7" spans="1:17">
      <c r="A7" s="477" t="s">
        <v>112</v>
      </c>
      <c r="B7" s="478">
        <f>landbouw!B8</f>
        <v>2005.4170676372737</v>
      </c>
      <c r="C7" s="478">
        <f>landbouw!C8</f>
        <v>0</v>
      </c>
      <c r="D7" s="478">
        <f>landbouw!D8</f>
        <v>50495.596183674097</v>
      </c>
      <c r="E7" s="478">
        <f>landbouw!E8</f>
        <v>58.94533286856965</v>
      </c>
      <c r="F7" s="478">
        <f>landbouw!F8</f>
        <v>8354.4591367264802</v>
      </c>
      <c r="G7" s="478">
        <f>landbouw!G8</f>
        <v>0</v>
      </c>
      <c r="H7" s="478">
        <f>landbouw!H8</f>
        <v>0</v>
      </c>
      <c r="I7" s="478">
        <f>landbouw!I8</f>
        <v>0</v>
      </c>
      <c r="J7" s="478">
        <f>landbouw!J8</f>
        <v>290.54186627613234</v>
      </c>
      <c r="K7" s="478">
        <f>landbouw!K8</f>
        <v>0</v>
      </c>
      <c r="L7" s="478">
        <f>landbouw!L8</f>
        <v>0</v>
      </c>
      <c r="M7" s="478">
        <f>landbouw!M8</f>
        <v>0</v>
      </c>
      <c r="N7" s="478">
        <f>landbouw!N8</f>
        <v>0</v>
      </c>
      <c r="O7" s="478">
        <f>landbouw!O8</f>
        <v>0</v>
      </c>
      <c r="P7" s="479">
        <f>landbouw!P8</f>
        <v>0</v>
      </c>
      <c r="Q7" s="477">
        <f t="shared" si="0"/>
        <v>61204.959587182551</v>
      </c>
    </row>
    <row r="8" spans="1:17">
      <c r="A8" s="477" t="s">
        <v>635</v>
      </c>
      <c r="B8" s="478">
        <f>industrie!B18</f>
        <v>8413.2239910865592</v>
      </c>
      <c r="C8" s="478">
        <f>industrie!C18</f>
        <v>0</v>
      </c>
      <c r="D8" s="478">
        <f>industrie!D18</f>
        <v>10062.328638688445</v>
      </c>
      <c r="E8" s="478">
        <f>industrie!E18</f>
        <v>1590.8064024498017</v>
      </c>
      <c r="F8" s="478">
        <f>industrie!F18</f>
        <v>4547.9945803713335</v>
      </c>
      <c r="G8" s="478">
        <f>industrie!G18</f>
        <v>0</v>
      </c>
      <c r="H8" s="478">
        <f>industrie!H18</f>
        <v>0</v>
      </c>
      <c r="I8" s="478">
        <f>industrie!I18</f>
        <v>0</v>
      </c>
      <c r="J8" s="478">
        <f>industrie!J18</f>
        <v>2.4984876136723404</v>
      </c>
      <c r="K8" s="478">
        <f>industrie!K18</f>
        <v>0</v>
      </c>
      <c r="L8" s="478">
        <f>industrie!L18</f>
        <v>0</v>
      </c>
      <c r="M8" s="478">
        <f>industrie!M18</f>
        <v>0</v>
      </c>
      <c r="N8" s="478">
        <f>industrie!N18</f>
        <v>2255.280407808566</v>
      </c>
      <c r="O8" s="478">
        <f>industrie!O18</f>
        <v>0</v>
      </c>
      <c r="P8" s="479">
        <f>industrie!P18</f>
        <v>0</v>
      </c>
      <c r="Q8" s="477">
        <f t="shared" si="0"/>
        <v>26872.132508018378</v>
      </c>
    </row>
    <row r="9" spans="1:17" s="483" customFormat="1">
      <c r="A9" s="481" t="s">
        <v>561</v>
      </c>
      <c r="B9" s="482">
        <f>transport!B14</f>
        <v>55.157269319891832</v>
      </c>
      <c r="C9" s="482">
        <f>transport!C14</f>
        <v>0</v>
      </c>
      <c r="D9" s="482">
        <f>transport!D14</f>
        <v>192.55462673882022</v>
      </c>
      <c r="E9" s="482">
        <f>transport!E14</f>
        <v>256.80250735165475</v>
      </c>
      <c r="F9" s="482">
        <f>transport!F14</f>
        <v>0</v>
      </c>
      <c r="G9" s="482">
        <f>transport!G14</f>
        <v>99836.72919792663</v>
      </c>
      <c r="H9" s="482">
        <f>transport!H14</f>
        <v>21708.732977583935</v>
      </c>
      <c r="I9" s="482">
        <f>transport!I14</f>
        <v>0</v>
      </c>
      <c r="J9" s="482">
        <f>transport!J14</f>
        <v>0</v>
      </c>
      <c r="K9" s="482">
        <f>transport!K14</f>
        <v>0</v>
      </c>
      <c r="L9" s="482">
        <f>transport!L14</f>
        <v>0</v>
      </c>
      <c r="M9" s="482">
        <f>transport!M14</f>
        <v>6477.326629553274</v>
      </c>
      <c r="N9" s="482">
        <f>transport!N14</f>
        <v>0</v>
      </c>
      <c r="O9" s="482">
        <f>transport!O14</f>
        <v>0</v>
      </c>
      <c r="P9" s="482">
        <f>transport!P14</f>
        <v>0</v>
      </c>
      <c r="Q9" s="481">
        <f>SUM(B9:P9)</f>
        <v>128527.30320847422</v>
      </c>
    </row>
    <row r="10" spans="1:17">
      <c r="A10" s="477" t="s">
        <v>551</v>
      </c>
      <c r="B10" s="478">
        <f>transport!B54</f>
        <v>631.49392676641673</v>
      </c>
      <c r="C10" s="478">
        <f>transport!C54</f>
        <v>0</v>
      </c>
      <c r="D10" s="478">
        <f>transport!D54</f>
        <v>0</v>
      </c>
      <c r="E10" s="478">
        <f>transport!E54</f>
        <v>0</v>
      </c>
      <c r="F10" s="478">
        <f>transport!F54</f>
        <v>0</v>
      </c>
      <c r="G10" s="478">
        <f>transport!G54</f>
        <v>1533.0893494513766</v>
      </c>
      <c r="H10" s="478">
        <f>transport!H54</f>
        <v>0</v>
      </c>
      <c r="I10" s="478">
        <f>transport!I54</f>
        <v>0</v>
      </c>
      <c r="J10" s="478">
        <f>transport!J54</f>
        <v>0</v>
      </c>
      <c r="K10" s="478">
        <f>transport!K54</f>
        <v>0</v>
      </c>
      <c r="L10" s="478">
        <f>transport!L54</f>
        <v>0</v>
      </c>
      <c r="M10" s="478">
        <f>transport!M54</f>
        <v>87.072707108800671</v>
      </c>
      <c r="N10" s="478">
        <f>transport!N54</f>
        <v>0</v>
      </c>
      <c r="O10" s="478">
        <f>transport!O54</f>
        <v>0</v>
      </c>
      <c r="P10" s="479">
        <f>transport!P54</f>
        <v>0</v>
      </c>
      <c r="Q10" s="477">
        <f t="shared" si="0"/>
        <v>2251.6559833265942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175601.14493798572</v>
      </c>
      <c r="C14" s="488">
        <f t="shared" ref="C14:Q14" ca="1" si="1">SUM(C4:C13)</f>
        <v>0</v>
      </c>
      <c r="D14" s="488">
        <f t="shared" ca="1" si="1"/>
        <v>383652.22882491734</v>
      </c>
      <c r="E14" s="488">
        <f t="shared" si="1"/>
        <v>3255.0014464896649</v>
      </c>
      <c r="F14" s="488">
        <f t="shared" ca="1" si="1"/>
        <v>29657.698650787803</v>
      </c>
      <c r="G14" s="488">
        <f t="shared" si="1"/>
        <v>101369.818547378</v>
      </c>
      <c r="H14" s="488">
        <f t="shared" si="1"/>
        <v>21708.732977583935</v>
      </c>
      <c r="I14" s="488">
        <f t="shared" si="1"/>
        <v>0</v>
      </c>
      <c r="J14" s="488">
        <f t="shared" si="1"/>
        <v>293.33441714022035</v>
      </c>
      <c r="K14" s="488">
        <f t="shared" si="1"/>
        <v>0</v>
      </c>
      <c r="L14" s="488">
        <f t="shared" ca="1" si="1"/>
        <v>0</v>
      </c>
      <c r="M14" s="488">
        <f t="shared" si="1"/>
        <v>6564.3993366620743</v>
      </c>
      <c r="N14" s="488">
        <f t="shared" ca="1" si="1"/>
        <v>13911.308103147379</v>
      </c>
      <c r="O14" s="488">
        <f t="shared" si="1"/>
        <v>242.31666666666669</v>
      </c>
      <c r="P14" s="489">
        <f t="shared" si="1"/>
        <v>629.20000000000005</v>
      </c>
      <c r="Q14" s="489">
        <f t="shared" ca="1" si="1"/>
        <v>736885.1839087588</v>
      </c>
    </row>
    <row r="16" spans="1:17">
      <c r="A16" s="491" t="s">
        <v>556</v>
      </c>
      <c r="B16" s="841">
        <f ca="1">huishoudens!B10</f>
        <v>0.21667619325830201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14186.699560394953</v>
      </c>
      <c r="C21" s="478">
        <f t="shared" ref="C21:C30" ca="1" si="3">C4*$C$16</f>
        <v>0</v>
      </c>
      <c r="D21" s="478">
        <f t="shared" ref="D21:D30" si="4">D4*$D$16</f>
        <v>41648.827235866644</v>
      </c>
      <c r="E21" s="478">
        <f t="shared" ref="E21:E30" si="5">E4*$E$16</f>
        <v>0</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55835.526796261598</v>
      </c>
    </row>
    <row r="22" spans="1:17">
      <c r="A22" s="477" t="s">
        <v>156</v>
      </c>
      <c r="B22" s="478">
        <f t="shared" ca="1" si="2"/>
        <v>20783.952190568645</v>
      </c>
      <c r="C22" s="478">
        <f t="shared" ca="1" si="3"/>
        <v>0</v>
      </c>
      <c r="D22" s="478">
        <f t="shared" ca="1" si="4"/>
        <v>23577.326138048182</v>
      </c>
      <c r="E22" s="478">
        <f t="shared" si="5"/>
        <v>306.0975152670581</v>
      </c>
      <c r="F22" s="478">
        <f t="shared" ca="1" si="6"/>
        <v>4473.6503972952269</v>
      </c>
      <c r="G22" s="478">
        <f t="shared" si="7"/>
        <v>0</v>
      </c>
      <c r="H22" s="478">
        <f t="shared" si="8"/>
        <v>0</v>
      </c>
      <c r="I22" s="478">
        <f t="shared" si="9"/>
        <v>0</v>
      </c>
      <c r="J22" s="478">
        <f t="shared" si="10"/>
        <v>0.10409839064714065</v>
      </c>
      <c r="K22" s="478">
        <f t="shared" si="11"/>
        <v>0</v>
      </c>
      <c r="L22" s="478">
        <f t="shared" ca="1" si="12"/>
        <v>0</v>
      </c>
      <c r="M22" s="478">
        <f t="shared" si="13"/>
        <v>0</v>
      </c>
      <c r="N22" s="478">
        <f t="shared" ca="1" si="14"/>
        <v>0</v>
      </c>
      <c r="O22" s="478">
        <f t="shared" si="15"/>
        <v>0</v>
      </c>
      <c r="P22" s="479">
        <f t="shared" si="16"/>
        <v>0</v>
      </c>
      <c r="Q22" s="477">
        <f t="shared" ref="Q22:Q30" ca="1" si="17">SUM(B22:P22)</f>
        <v>49141.130339569761</v>
      </c>
    </row>
    <row r="23" spans="1:17">
      <c r="A23" s="477" t="s">
        <v>194</v>
      </c>
      <c r="B23" s="478">
        <f t="shared" ca="1" si="2"/>
        <v>671.68341520533397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671.68341520533397</v>
      </c>
    </row>
    <row r="24" spans="1:17">
      <c r="A24" s="477" t="s">
        <v>112</v>
      </c>
      <c r="B24" s="478">
        <f t="shared" ca="1" si="2"/>
        <v>434.52613611087122</v>
      </c>
      <c r="C24" s="478">
        <f t="shared" ca="1" si="3"/>
        <v>0</v>
      </c>
      <c r="D24" s="478">
        <f t="shared" si="4"/>
        <v>10200.110429102167</v>
      </c>
      <c r="E24" s="478">
        <f t="shared" si="5"/>
        <v>13.380590561165311</v>
      </c>
      <c r="F24" s="478">
        <f t="shared" si="6"/>
        <v>2230.6405895059702</v>
      </c>
      <c r="G24" s="478">
        <f t="shared" si="7"/>
        <v>0</v>
      </c>
      <c r="H24" s="478">
        <f t="shared" si="8"/>
        <v>0</v>
      </c>
      <c r="I24" s="478">
        <f t="shared" si="9"/>
        <v>0</v>
      </c>
      <c r="J24" s="478">
        <f t="shared" si="10"/>
        <v>102.85182066175084</v>
      </c>
      <c r="K24" s="478">
        <f t="shared" si="11"/>
        <v>0</v>
      </c>
      <c r="L24" s="478">
        <f t="shared" si="12"/>
        <v>0</v>
      </c>
      <c r="M24" s="478">
        <f t="shared" si="13"/>
        <v>0</v>
      </c>
      <c r="N24" s="478">
        <f t="shared" si="14"/>
        <v>0</v>
      </c>
      <c r="O24" s="478">
        <f t="shared" si="15"/>
        <v>0</v>
      </c>
      <c r="P24" s="479">
        <f t="shared" si="16"/>
        <v>0</v>
      </c>
      <c r="Q24" s="477">
        <f t="shared" ca="1" si="17"/>
        <v>12981.509565941926</v>
      </c>
    </row>
    <row r="25" spans="1:17">
      <c r="A25" s="477" t="s">
        <v>635</v>
      </c>
      <c r="B25" s="478">
        <f t="shared" ca="1" si="2"/>
        <v>1822.9453474180543</v>
      </c>
      <c r="C25" s="478">
        <f t="shared" ca="1" si="3"/>
        <v>0</v>
      </c>
      <c r="D25" s="478">
        <f t="shared" si="4"/>
        <v>2032.590385015066</v>
      </c>
      <c r="E25" s="478">
        <f t="shared" si="5"/>
        <v>361.11305335610501</v>
      </c>
      <c r="F25" s="478">
        <f t="shared" si="6"/>
        <v>1214.3145529591461</v>
      </c>
      <c r="G25" s="478">
        <f t="shared" si="7"/>
        <v>0</v>
      </c>
      <c r="H25" s="478">
        <f t="shared" si="8"/>
        <v>0</v>
      </c>
      <c r="I25" s="478">
        <f t="shared" si="9"/>
        <v>0</v>
      </c>
      <c r="J25" s="478">
        <f t="shared" si="10"/>
        <v>0.88446461524000841</v>
      </c>
      <c r="K25" s="478">
        <f t="shared" si="11"/>
        <v>0</v>
      </c>
      <c r="L25" s="478">
        <f t="shared" si="12"/>
        <v>0</v>
      </c>
      <c r="M25" s="478">
        <f t="shared" si="13"/>
        <v>0</v>
      </c>
      <c r="N25" s="478">
        <f t="shared" si="14"/>
        <v>0</v>
      </c>
      <c r="O25" s="478">
        <f t="shared" si="15"/>
        <v>0</v>
      </c>
      <c r="P25" s="479">
        <f t="shared" si="16"/>
        <v>0</v>
      </c>
      <c r="Q25" s="477">
        <f t="shared" ca="1" si="17"/>
        <v>5431.847803363612</v>
      </c>
    </row>
    <row r="26" spans="1:17" s="483" customFormat="1">
      <c r="A26" s="481" t="s">
        <v>561</v>
      </c>
      <c r="B26" s="835">
        <f t="shared" ca="1" si="2"/>
        <v>11.951267146757095</v>
      </c>
      <c r="C26" s="482">
        <f t="shared" ca="1" si="3"/>
        <v>0</v>
      </c>
      <c r="D26" s="482">
        <f t="shared" si="4"/>
        <v>38.896034601241688</v>
      </c>
      <c r="E26" s="482">
        <f t="shared" si="5"/>
        <v>58.294169168825633</v>
      </c>
      <c r="F26" s="482">
        <f t="shared" si="6"/>
        <v>0</v>
      </c>
      <c r="G26" s="482">
        <f t="shared" si="7"/>
        <v>26656.40669584641</v>
      </c>
      <c r="H26" s="482">
        <f t="shared" si="8"/>
        <v>5405.4745114183997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32171.022678181635</v>
      </c>
    </row>
    <row r="27" spans="1:17">
      <c r="A27" s="477" t="s">
        <v>551</v>
      </c>
      <c r="B27" s="478">
        <f t="shared" ca="1" si="2"/>
        <v>136.82970011748412</v>
      </c>
      <c r="C27" s="478">
        <f t="shared" ca="1" si="3"/>
        <v>0</v>
      </c>
      <c r="D27" s="478">
        <f t="shared" si="4"/>
        <v>0</v>
      </c>
      <c r="E27" s="478">
        <f t="shared" si="5"/>
        <v>0</v>
      </c>
      <c r="F27" s="478">
        <f t="shared" si="6"/>
        <v>0</v>
      </c>
      <c r="G27" s="478">
        <f t="shared" si="7"/>
        <v>409.3348563035176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546.16455642100175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38048.587616962104</v>
      </c>
      <c r="C31" s="488">
        <f t="shared" ca="1" si="18"/>
        <v>0</v>
      </c>
      <c r="D31" s="488">
        <f t="shared" ca="1" si="18"/>
        <v>77497.750222633302</v>
      </c>
      <c r="E31" s="488">
        <f t="shared" si="18"/>
        <v>738.88532835315414</v>
      </c>
      <c r="F31" s="488">
        <f t="shared" ca="1" si="18"/>
        <v>7918.6055397603432</v>
      </c>
      <c r="G31" s="488">
        <f t="shared" si="18"/>
        <v>27065.741552149928</v>
      </c>
      <c r="H31" s="488">
        <f t="shared" si="18"/>
        <v>5405.4745114183997</v>
      </c>
      <c r="I31" s="488">
        <f t="shared" si="18"/>
        <v>0</v>
      </c>
      <c r="J31" s="488">
        <f t="shared" si="18"/>
        <v>103.84038366763798</v>
      </c>
      <c r="K31" s="488">
        <f t="shared" si="18"/>
        <v>0</v>
      </c>
      <c r="L31" s="488">
        <f t="shared" ca="1" si="18"/>
        <v>0</v>
      </c>
      <c r="M31" s="488">
        <f t="shared" si="18"/>
        <v>0</v>
      </c>
      <c r="N31" s="488">
        <f t="shared" ca="1" si="18"/>
        <v>0</v>
      </c>
      <c r="O31" s="488">
        <f t="shared" si="18"/>
        <v>0</v>
      </c>
      <c r="P31" s="489">
        <f t="shared" si="18"/>
        <v>0</v>
      </c>
      <c r="Q31" s="489">
        <f t="shared" ca="1" si="18"/>
        <v>156778.88515494487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0.21667619325830201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0.21667619325830201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0.21667619325830201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2018-09-06T12:47:31Z</dcterms:modified>
</cp:coreProperties>
</file>