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M13" i="14"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I5" i="48" l="1"/>
  <c r="I22" s="1"/>
  <c r="L22" i="16"/>
  <c r="M39" i="14" s="1"/>
  <c r="I20" i="15"/>
  <c r="J36" i="14" s="1"/>
  <c r="B35" i="13"/>
  <c r="J15" i="14"/>
  <c r="J23" s="1"/>
  <c r="P8" i="48"/>
  <c r="P25" s="1"/>
  <c r="D18" i="16"/>
  <c r="D22" s="1"/>
  <c r="E39" i="14" s="1"/>
  <c r="G31" i="20"/>
  <c r="H43" i="14" s="1"/>
  <c r="G12" i="22"/>
  <c r="D16" i="15"/>
  <c r="D20" s="1"/>
  <c r="K22" i="14"/>
  <c r="E8" i="17"/>
  <c r="F22" i="14" s="1"/>
  <c r="O18" i="16"/>
  <c r="O22" s="1"/>
  <c r="P39" i="14" s="1"/>
  <c r="B36" i="13"/>
  <c r="H13" i="48"/>
  <c r="H30" s="1"/>
  <c r="H12" i="22"/>
  <c r="B34" i="13"/>
  <c r="B46" s="1"/>
  <c r="E5" s="1"/>
  <c r="E8" s="1"/>
  <c r="E12" s="1"/>
  <c r="F37" i="14" s="1"/>
  <c r="N8" i="17"/>
  <c r="N12" s="1"/>
  <c r="O48" i="14" s="1"/>
  <c r="L8" i="17"/>
  <c r="L12" s="1"/>
  <c r="M48" i="14" s="1"/>
  <c r="M50" i="22"/>
  <c r="M54" s="1"/>
  <c r="M10" i="48" s="1"/>
  <c r="M27" s="1"/>
  <c r="G51" i="22"/>
  <c r="G50" s="1"/>
  <c r="G54" s="1"/>
  <c r="H18" i="14" s="1"/>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F13" i="16"/>
  <c r="E13"/>
  <c r="N13"/>
  <c r="J13"/>
  <c r="B47" i="13"/>
  <c r="N12" i="16"/>
  <c r="J12"/>
  <c r="F12"/>
  <c r="E12"/>
  <c r="Q11" i="48"/>
  <c r="O5"/>
  <c r="R9" i="14"/>
  <c r="O28" i="48"/>
  <c r="H22"/>
  <c r="K31"/>
  <c r="L26"/>
  <c r="B48" i="13"/>
  <c r="C48" s="1"/>
  <c r="N5" s="1"/>
  <c r="N8" s="1"/>
  <c r="N4" i="48" s="1"/>
  <c r="N21" s="1"/>
  <c r="M29"/>
  <c r="M25"/>
  <c r="M24"/>
  <c r="I31"/>
  <c r="C50" i="13"/>
  <c r="J5" s="1"/>
  <c r="J8" s="1"/>
  <c r="C5" i="48"/>
  <c r="N7" l="1"/>
  <c r="N24" s="1"/>
  <c r="P31"/>
  <c r="I14"/>
  <c r="P13" i="14"/>
  <c r="P15" s="1"/>
  <c r="P23" s="1"/>
  <c r="P55" s="1"/>
  <c r="E7" i="48"/>
  <c r="E24" s="1"/>
  <c r="E12" i="17"/>
  <c r="F48" i="14" s="1"/>
  <c r="O8" i="48"/>
  <c r="O25" s="1"/>
  <c r="J16" i="15"/>
  <c r="K10" i="14" s="1"/>
  <c r="E16" i="15"/>
  <c r="F10" i="14" s="1"/>
  <c r="D8" i="48"/>
  <c r="D25" s="1"/>
  <c r="P41" i="14"/>
  <c r="P53" s="1"/>
  <c r="O22"/>
  <c r="L7" i="48"/>
  <c r="L24" s="1"/>
  <c r="M22" i="14"/>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B22" i="6"/>
  <c r="C17" i="19" s="1"/>
  <c r="C19" s="1"/>
  <c r="D35" i="14" s="1"/>
  <c r="E5" i="48"/>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6" i="22"/>
  <c r="C29" i="20"/>
  <c r="C17" i="49"/>
  <c r="Q5" i="48"/>
  <c r="F22" i="16"/>
  <c r="G39" i="14" s="1"/>
  <c r="G41" s="1"/>
  <c r="F8" i="48"/>
  <c r="Q4"/>
  <c r="N22"/>
  <c r="R11" i="14"/>
  <c r="J21" i="48"/>
  <c r="R10" i="14"/>
  <c r="C56" i="22" l="1"/>
  <c r="C58" s="1"/>
  <c r="D44" i="14" s="1"/>
  <c r="D46" s="1"/>
  <c r="C10" i="17"/>
  <c r="C12" s="1"/>
  <c r="D48" i="14" s="1"/>
  <c r="O13"/>
  <c r="O15" s="1"/>
  <c r="C10" i="13"/>
  <c r="C16" i="48" s="1"/>
  <c r="C30" s="1"/>
  <c r="C18" i="15"/>
  <c r="C20" s="1"/>
  <c r="D36" i="14" s="1"/>
  <c r="C20" i="16"/>
  <c r="C22" s="1"/>
  <c r="D39" i="14" s="1"/>
  <c r="N22" i="16"/>
  <c r="O39" i="14" s="1"/>
  <c r="O41" s="1"/>
  <c r="O53" s="1"/>
  <c r="E8" i="48"/>
  <c r="E25" s="1"/>
  <c r="E31" s="1"/>
  <c r="F13" i="14"/>
  <c r="F15" s="1"/>
  <c r="F23" s="1"/>
  <c r="F55" s="1"/>
  <c r="J22" i="16"/>
  <c r="K39" i="14" s="1"/>
  <c r="K41" s="1"/>
  <c r="K53" s="1"/>
  <c r="K55" s="1"/>
  <c r="J8" i="48"/>
  <c r="J25" s="1"/>
  <c r="J31" s="1"/>
  <c r="E14"/>
  <c r="N25"/>
  <c r="N31" s="1"/>
  <c r="N14"/>
  <c r="N55" i="14"/>
  <c r="H55"/>
  <c r="E55"/>
  <c r="C78"/>
  <c r="C81" s="1"/>
  <c r="J14" i="48"/>
  <c r="R19" i="14"/>
  <c r="R20" s="1"/>
  <c r="H14" i="48"/>
  <c r="G31"/>
  <c r="H26"/>
  <c r="H31" s="1"/>
  <c r="G53" i="14"/>
  <c r="G55" s="1"/>
  <c r="O69" s="1"/>
  <c r="B9" i="6" s="1"/>
  <c r="B12" s="1"/>
  <c r="M53" i="14"/>
  <c r="M55" s="1"/>
  <c r="C12" i="13"/>
  <c r="D37" i="14" s="1"/>
  <c r="D41" s="1"/>
  <c r="C23" i="48"/>
  <c r="C24"/>
  <c r="C29"/>
  <c r="C21"/>
  <c r="C26"/>
  <c r="F25"/>
  <c r="F31" s="1"/>
  <c r="F14"/>
  <c r="R13" i="14" l="1"/>
  <c r="R15" s="1"/>
  <c r="R23" s="1"/>
  <c r="C28" i="48"/>
  <c r="C31" s="1"/>
  <c r="C22"/>
  <c r="C27"/>
  <c r="C25"/>
  <c r="Q8"/>
  <c r="Q14"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<sst xmlns="http://schemas.openxmlformats.org/spreadsheetml/2006/main" count="1941" uniqueCount="822">
  <si>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</si>
  <si>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</si>
  <si>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</si>
  <si>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</si>
  <si>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</si>
  <si>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</si>
  <si>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</si>
  <si>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</si>
  <si>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</si>
  <si>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</si>
  <si>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</si>
  <si>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</si>
  <si>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</si>
  <si>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</si>
  <si>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</si>
  <si>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</si>
  <si>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</si>
  <si>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</si>
  <si>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</si>
  <si>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</si>
  <si>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</si>
  <si>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</si>
  <si>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</si>
  <si>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</si>
  <si>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</si>
  <si>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</si>
  <si>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</si>
  <si>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</si>
  <si>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</si>
  <si>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</si>
  <si>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</si>
  <si>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</si>
  <si>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</si>
  <si>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</si>
  <si>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</si>
  <si>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</si>
  <si>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</si>
  <si>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</si>
  <si>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</si>
  <si>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</si>
  <si>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</si>
  <si>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</si>
  <si>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</si>
  <si>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</si>
  <si>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</si>
  <si>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</si>
  <si>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</si>
  <si>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</si>
  <si>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</si>
  <si>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</si>
  <si>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</si>
  <si>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</si>
  <si>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</si>
  <si>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</si>
  <si>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</si>
  <si>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</si>
  <si>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</si>
  <si>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</si>
  <si>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</si>
  <si>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</si>
  <si>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</si>
  <si>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</si>
  <si>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</si>
  <si>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</si>
  <si>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</si>
  <si>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</si>
  <si>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</si>
  <si>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</si>
  <si>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</si>
  <si>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</si>
  <si>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</si>
  <si>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</si>
  <si>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</si>
  <si>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</si>
  <si>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</si>
  <si>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</si>
  <si>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</si>
  <si>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</si>
  <si>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</si>
  <si>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</si>
  <si>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</si>
  <si>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</si>
  <si>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</si>
  <si>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</si>
  <si>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</si>
  <si>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</si>
  <si>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</si>
  <si>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</si>
  <si>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</si>
  <si>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</si>
  <si>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</si>
  <si>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</si>
  <si>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</si>
  <si>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</si>
  <si>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</si>
  <si>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</si>
  <si>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</si>
  <si>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</si>
  <si>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</si>
  <si>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</si>
  <si>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</si>
  <si>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</si>
  <si>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</si>
  <si>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</si>
  <si>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</si>
  <si>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</si>
  <si>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</si>
  <si>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</si>
  <si>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</si>
  <si>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</si>
  <si>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</si>
  <si>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</si>
  <si>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</si>
  <si>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</si>
  <si>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</si>
  <si>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</si>
  <si>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</si>
  <si>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</si>
  <si>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</si>
  <si>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</si>
  <si>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</si>
  <si>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</si>
  <si>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</si>
  <si>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</si>
  <si>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</si>
  <si>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</si>
  <si>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</si>
  <si>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</si>
  <si>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</si>
  <si>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</si>
  <si>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</si>
  <si>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</si>
  <si>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</si>
  <si>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</si>
  <si>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</si>
  <si>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</si>
  <si>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</si>
  <si>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</si>
  <si>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</si>
  <si>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</si>
  <si>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</si>
  <si>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</si>
  <si>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</si>
  <si>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</si>
  <si>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</si>
  <si>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</si>
  <si>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</si>
  <si>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</si>
  <si>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</si>
  <si>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</si>
  <si>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</si>
  <si>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</si>
  <si>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</si>
  <si>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</si>
  <si>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</si>
  <si>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</si>
  <si>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</si>
  <si>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</si>
  <si>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</si>
  <si>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</si>
  <si>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</si>
  <si>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</si>
  <si>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</si>
  <si>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</si>
  <si>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</si>
  <si>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</si>
  <si>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</si>
  <si>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</si>
  <si>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</si>
  <si>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</si>
  <si>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</si>
  <si>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</si>
  <si>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</si>
  <si>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</si>
  <si>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</si>
  <si>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</si>
  <si>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</si>
  <si>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</si>
  <si>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</si>
  <si>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</si>
  <si>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</si>
  <si>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</si>
  <si>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</si>
  <si>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</si>
  <si>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</si>
  <si>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</si>
  <si>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</si>
  <si>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</si>
  <si>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</si>
  <si>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</si>
  <si>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</si>
  <si>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</si>
  <si>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</si>
  <si>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</si>
  <si>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</si>
  <si>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</si>
  <si>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</si>
  <si>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</si>
  <si>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</si>
  <si>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</si>
  <si>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</si>
  <si>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</si>
  <si>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</si>
  <si>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</si>
  <si>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</si>
  <si>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</si>
  <si>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</si>
  <si>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</si>
  <si>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</si>
  <si>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</si>
  <si>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</si>
  <si>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</si>
  <si>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</si>
  <si>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</si>
  <si>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</si>
  <si>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</si>
  <si>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</si>
  <si>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</si>
  <si>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</si>
  <si>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</si>
  <si>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</si>
  <si>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</si>
  <si>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</si>
  <si>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</si>
  <si>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</si>
  <si>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</si>
  <si>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</si>
  <si>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</si>
  <si>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</si>
  <si>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</si>
  <si>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</si>
  <si>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</si>
  <si>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</si>
  <si>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</si>
  <si>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</si>
  <si>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</si>
  <si>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</si>
  <si>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</si>
  <si>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</si>
  <si>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</si>
  <si>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</si>
  <si>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</si>
  <si>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</si>
  <si>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</si>
  <si>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</si>
  <si>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</si>
  <si>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</si>
  <si>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</si>
  <si>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</si>
  <si>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</si>
  <si>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</si>
  <si>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</si>
  <si>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</si>
  <si>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</si>
  <si>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</si>
  <si>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</si>
  <si>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</si>
  <si>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</si>
  <si>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</si>
  <si>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</si>
  <si>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</si>
  <si>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</si>
  <si>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</si>
  <si>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</si>
  <si>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</si>
  <si>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</si>
  <si>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</si>
  <si>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</si>
  <si>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</si>
  <si>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</si>
  <si>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</si>
  <si>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</si>
  <si>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</si>
  <si>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</si>
  <si>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</si>
  <si>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</si>
  <si>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</si>
  <si>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</si>
  <si>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</si>
  <si>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</si>
  <si>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</si>
  <si>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</si>
  <si>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</si>
  <si>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</si>
  <si>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</si>
  <si>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</si>
  <si>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</si>
  <si>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</si>
  <si>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</si>
  <si>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</si>
  <si>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</si>
  <si>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</si>
  <si>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</si>
  <si>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</si>
  <si>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</si>
  <si>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</si>
  <si>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</si>
  <si>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</si>
  <si>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</si>
  <si>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</si>
  <si>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</si>
  <si>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</si>
  <si>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</si>
  <si>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</si>
  <si>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</si>
  <si>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</si>
  <si>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</si>
  <si>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</si>
  <si>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</si>
  <si>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</si>
  <si>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</si>
  <si>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</si>
  <si>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</si>
  <si>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</si>
  <si>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</si>
  <si>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</si>
  <si>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</si>
  <si>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</si>
  <si>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</si>
  <si>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</si>
  <si>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</si>
  <si>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</si>
  <si>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</si>
  <si>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</si>
  <si>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</si>
  <si>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</si>
  <si>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</si>
  <si>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</si>
  <si>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</si>
  <si>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</si>
  <si>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</si>
  <si>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</si>
  <si>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</si>
  <si>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</si>
  <si>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</si>
  <si>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</si>
  <si>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</si>
  <si>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</si>
  <si>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</si>
  <si>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</si>
  <si>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</si>
  <si>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</si>
  <si>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</si>
  <si>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</si>
  <si>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</si>
  <si>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</si>
  <si>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</si>
  <si>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</si>
  <si>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</si>
  <si>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</si>
  <si>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</si>
  <si>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</si>
  <si>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</si>
  <si>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</si>
  <si>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</si>
  <si>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</si>
  <si>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</si>
  <si>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</si>
  <si>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</si>
  <si>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</si>
  <si>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</si>
  <si>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</si>
  <si>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</si>
  <si>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</si>
  <si>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</si>
  <si>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</si>
  <si>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</si>
  <si>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</si>
  <si>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</si>
  <si>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</si>
  <si>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</si>
  <si>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</si>
  <si>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</si>
  <si>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</si>
  <si>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</si>
  <si>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</si>
  <si>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</si>
  <si>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</si>
  <si>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</si>
  <si>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</si>
  <si>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</si>
  <si>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</si>
  <si>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</si>
  <si>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</si>
  <si>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</si>
  <si>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</si>
  <si>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</si>
  <si>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</si>
  <si>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</si>
  <si>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</si>
  <si>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</si>
  <si>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</si>
  <si>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</si>
  <si>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</si>
  <si>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</si>
  <si>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</si>
  <si>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</si>
  <si>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</si>
  <si>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</si>
  <si>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</si>
  <si>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</si>
  <si>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</si>
  <si>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</si>
  <si>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</si>
  <si>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</si>
  <si>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</si>
  <si>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</si>
  <si>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</si>
  <si>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</si>
  <si>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</si>
  <si>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</si>
  <si>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</si>
  <si>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</si>
  <si>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</si>
  <si>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</si>
  <si>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</si>
  <si>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</si>
  <si>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</si>
  <si>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</si>
  <si>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</si>
  <si>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</si>
  <si>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</si>
  <si>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</si>
  <si>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</si>
  <si>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</si>
  <si>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</si>
  <si>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</si>
  <si>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</si>
  <si>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</si>
  <si>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</si>
  <si>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</si>
  <si>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</si>
  <si>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</si>
  <si>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</si>
  <si>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</si>
  <si>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</si>
  <si>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</si>
  <si>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</si>
  <si>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</si>
  <si>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</si>
  <si>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</si>
  <si>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</si>
  <si>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</si>
  <si>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</si>
  <si>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</si>
  <si>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</si>
  <si>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</si>
  <si>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</si>
  <si>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</si>
  <si>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</si>
  <si>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</si>
  <si>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</si>
  <si>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</si>
  <si>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</si>
  <si>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</si>
  <si>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</si>
  <si>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</si>
  <si>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</si>
  <si>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</si>
  <si>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</si>
  <si>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</si>
  <si>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</si>
  <si>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</si>
  <si>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</si>
  <si>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</si>
  <si>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</si>
  <si>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</si>
  <si>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</si>
  <si>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</si>
  <si>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</si>
  <si>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</si>
  <si>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</si>
  <si>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</si>
  <si>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</si>
  <si>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</si>
  <si>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</si>
  <si>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</si>
  <si>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</si>
  <si>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</si>
  <si>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</si>
  <si>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</si>
  <si>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</si>
  <si>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</si>
  <si>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</si>
  <si>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</si>
  <si>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</si>
  <si>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</si>
  <si>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</si>
  <si>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</si>
  <si>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</si>
  <si>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</si>
  <si>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</si>
  <si>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</si>
  <si>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</si>
  <si>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</si>
  <si>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</si>
  <si>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</si>
  <si>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</si>
  <si>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</si>
  <si>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</si>
  <si>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</si>
  <si>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</si>
  <si>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</si>
  <si>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</si>
  <si>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</si>
  <si>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</si>
  <si>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</si>
  <si>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</si>
  <si>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</si>
  <si>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</si>
  <si>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</si>
  <si>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</si>
  <si>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</si>
  <si>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</si>
  <si>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</si>
  <si>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</si>
  <si>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</si>
  <si>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</si>
  <si>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</si>
  <si>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</si>
  <si>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</si>
  <si>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</si>
  <si>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</si>
  <si>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</si>
  <si>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</si>
  <si>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</si>
  <si>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</si>
  <si>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</si>
  <si>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</si>
  <si>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</si>
  <si>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</si>
  <si>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</si>
  <si>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</si>
  <si>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</si>
  <si>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</si>
  <si>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</si>
  <si>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</si>
  <si>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</si>
  <si>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</si>
  <si>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</si>
  <si>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</si>
  <si>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</si>
  <si>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</si>
  <si>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</si>
  <si>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</si>
  <si>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</si>
  <si>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</si>
  <si>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</si>
  <si>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</si>
  <si>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</si>
  <si>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</si>
  <si>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</si>
  <si>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</si>
  <si>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</si>
  <si>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</si>
  <si>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</si>
  <si>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</si>
  <si>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</si>
  <si>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</si>
  <si>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</si>
  <si>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</si>
  <si>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</si>
  <si>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</si>
  <si>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</si>
  <si>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</si>
  <si>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</si>
  <si>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</si>
  <si>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</si>
  <si>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</si>
  <si>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</si>
  <si>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</si>
  <si>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</si>
  <si>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</si>
  <si>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</si>
  <si>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</si>
  <si>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</si>
  <si>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</si>
  <si>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</si>
  <si>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</si>
  <si>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</si>
  <si>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</si>
  <si>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</si>
  <si>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</si>
  <si>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</si>
  <si>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</si>
  <si>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</si>
  <si>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</si>
  <si>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</si>
  <si>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</si>
  <si>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</si>
  <si>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</si>
  <si>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</si>
  <si>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</si>
  <si>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</si>
  <si>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</si>
  <si>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</si>
  <si>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</si>
  <si>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</si>
  <si>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</si>
  <si>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</si>
  <si>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</si>
  <si>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</si>
  <si>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</si>
  <si>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</si>
  <si>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</si>
  <si>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</si>
  <si>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</si>
  <si>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</si>
  <si>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</si>
  <si>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</si>
  <si>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</si>
  <si>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</si>
  <si>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</si>
  <si>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</si>
  <si>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</si>
  <si>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</si>
  <si>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</si>
  <si>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</si>
  <si>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</si>
  <si>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</si>
  <si>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</si>
  <si>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</si>
  <si>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</si>
  <si>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</si>
  <si>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</si>
  <si>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</si>
  <si>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</si>
  <si>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</si>
  <si>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</si>
  <si>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</si>
  <si>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</si>
  <si>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</si>
  <si>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</si>
  <si>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</si>
  <si>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</si>
  <si>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</si>
  <si>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</si>
  <si>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</si>
  <si>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</si>
  <si>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</si>
  <si>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</si>
  <si>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</si>
  <si>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</si>
  <si>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</si>
  <si>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</si>
  <si>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</si>
  <si>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</si>
  <si>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</si>
  <si>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</si>
  <si>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</si>
  <si>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</si>
  <si>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</si>
  <si>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</si>
  <si>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</si>
  <si>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</si>
  <si>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</si>
  <si>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</si>
  <si>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</si>
  <si>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</si>
  <si>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</si>
  <si>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</si>
  <si>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</si>
  <si>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</si>
  <si>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</si>
  <si>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</si>
  <si>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</si>
  <si>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</si>
  <si>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</si>
  <si>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</si>
  <si>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</si>
  <si>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</si>
  <si>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</si>
  <si>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</si>
  <si>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</si>
  <si>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</si>
  <si>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</si>
  <si>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</si>
  <si>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</si>
  <si>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</si>
  <si>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</si>
  <si>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</si>
  <si>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</si>
  <si>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</si>
  <si>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</si>
  <si>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</si>
  <si>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</si>
  <si>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</si>
  <si>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</si>
  <si>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</si>
  <si>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</si>
  <si>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</si>
  <si>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</si>
  <si>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</si>
  <si>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</si>
  <si>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</si>
  <si>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</si>
  <si>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</si>
  <si>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</si>
  <si>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</si>
  <si>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</si>
  <si>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</si>
  <si>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</si>
  <si>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</si>
  <si>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</si>
  <si>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</si>
  <si>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</si>
  <si>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</si>
  <si>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</si>
  <si>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</si>
  <si>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</si>
  <si>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</si>
  <si>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</si>
  <si>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</si>
  <si>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</si>
  <si>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</si>
  <si>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</si>
  <si>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</si>
  <si>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</si>
  <si>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</si>
  <si>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</si>
  <si>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</si>
  <si>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</si>
  <si>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</si>
  <si>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</si>
  <si>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</si>
  <si>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</si>
  <si>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</si>
  <si>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</si>
  <si>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</si>
  <si>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</si>
  <si>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</si>
  <si>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</si>
  <si>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</si>
  <si>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</si>
  <si>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</si>
  <si>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</si>
  <si>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</si>
  <si>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</si>
  <si>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</si>
  <si>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</si>
  <si>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</si>
  <si>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</si>
  <si>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</si>
  <si>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</si>
  <si>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</si>
  <si>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</si>
  <si>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</si>
  <si>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</si>
  <si>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</si>
  <si>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</si>
  <si>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</si>
  <si>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</si>
  <si>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</si>
  <si>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</si>
  <si>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</si>
  <si>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</si>
  <si>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</si>
  <si>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</si>
  <si>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</si>
  <si>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</si>
  <si>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</si>
  <si>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</si>
  <si>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</si>
  <si>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</si>
  <si>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</si>
  <si>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</si>
  <si>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</si>
  <si>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</si>
  <si>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</si>
  <si>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</si>
  <si>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</si>
  <si>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</si>
  <si>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</si>
  <si>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</si>
  <si>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</si>
  <si>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</si>
  <si>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</si>
  <si>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</si>
  <si>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</si>
  <si>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</si>
  <si>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</si>
  <si>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</si>
  <si>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</si>
  <si>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</si>
  <si>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</si>
  <si>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</si>
  <si>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</si>
  <si>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</si>
  <si>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</si>
  <si>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</si>
  <si>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</si>
  <si>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</si>
  <si>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</si>
  <si>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</si>
  <si>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</si>
  <si>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</si>
  <si>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</si>
  <si>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</si>
  <si>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</si>
  <si>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</si>
  <si>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</si>
  <si>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31012</t>
  </si>
  <si>
    <t>JABBEKE</t>
  </si>
  <si>
    <t>Eandis (januari 2018); Infrax (juni 2018)</t>
  </si>
  <si>
    <t>MOW (september 2017)</t>
  </si>
  <si>
    <t>referentietaak LNE (2017); Jaarverslag De Lijn (2016)</t>
  </si>
  <si>
    <t>VEA (april 2018)</t>
  </si>
  <si>
    <t>VEA (januari 2017)</t>
  </si>
  <si>
    <t>VEA (juni 2018)</t>
  </si>
  <si>
    <t>Topa BVBA</t>
  </si>
  <si>
    <t>Eernegemweg 154 , 8490 Jabbeke</t>
  </si>
  <si>
    <t>WKK-0188 Topa</t>
  </si>
  <si>
    <t>interne verbrandingsmotor</t>
  </si>
  <si>
    <t>WKK interne verbrandinsgmotor (gas)</t>
  </si>
  <si>
    <t>Infrax West</t>
  </si>
  <si>
    <t>Patrick Deketelaere</t>
  </si>
  <si>
    <t>Gistelsteenweg 83 , 8490 Varsenare</t>
  </si>
  <si>
    <t>WKK-0313 Patrick Deketelaere</t>
  </si>
  <si>
    <t>Biolectric nv</t>
  </si>
  <si>
    <t>Jan de Malschelaan 4 B, 9140 Temse</t>
  </si>
  <si>
    <t>WKK-0504 Luc Callemeyn</t>
  </si>
  <si>
    <t>Gistelsteenweg 577 , 8490 Jabbeke</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</si>
</sst>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118659.62065297404</c:v>
                </c:pt>
                <c:pt idx="1">
                  <c:v>34396.055115190364</c:v>
                </c:pt>
                <c:pt idx="2">
                  <c:v>1047.0730000000001</c:v>
                </c:pt>
                <c:pt idx="3">
                  <c:v>87263.034669863759</c:v>
                </c:pt>
                <c:pt idx="4">
                  <c:v>88435.197589539399</c:v>
                </c:pt>
                <c:pt idx="5">
                  <c:v>267292.33371512772</c:v>
                </c:pt>
                <c:pt idx="6">
                  <c:v>1403.0120695516525</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553984"/>
        <c:axId val="182617216"/>
      </c:barChart>
      <c:catAx>
        <c:axId val="182553984"/>
        <c:scaling>
          <c:orientation val="minMax"/>
        </c:scaling>
        <c:axPos val="b"/>
        <c:numFmt formatCode="General" sourceLinked="0"/>
        <c:tickLblPos val="nextTo"/>
        <c:crossAx val="182617216"/>
        <c:crosses val="autoZero"/>
        <c:auto val="1"/>
        <c:lblAlgn val="ctr"/>
        <c:lblOffset val="100"/>
      </c:catAx>
      <c:valAx>
        <c:axId val="182617216"/>
        <c:scaling>
          <c:orientation val="minMax"/>
        </c:scaling>
        <c:axPos val="l"/>
        <c:majorGridlines/>
        <c:numFmt formatCode="#,##0" sourceLinked="1"/>
        <c:tickLblPos val="nextTo"/>
        <c:crossAx val="18255398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118659.62065297404</c:v>
                </c:pt>
                <c:pt idx="1">
                  <c:v>34396.055115190364</c:v>
                </c:pt>
                <c:pt idx="2">
                  <c:v>1047.0730000000001</c:v>
                </c:pt>
                <c:pt idx="3">
                  <c:v>87263.034669863759</c:v>
                </c:pt>
                <c:pt idx="4">
                  <c:v>88435.197589539399</c:v>
                </c:pt>
                <c:pt idx="5">
                  <c:v>267292.33371512772</c:v>
                </c:pt>
                <c:pt idx="6">
                  <c:v>1403.0120695516525</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21537.69635346876</c:v>
                </c:pt>
                <c:pt idx="1">
                  <c:v>6976.2258880628933</c:v>
                </c:pt>
                <c:pt idx="2">
                  <c:v>217.046496527252</c:v>
                </c:pt>
                <c:pt idx="3">
                  <c:v>21855.656362489779</c:v>
                </c:pt>
                <c:pt idx="4">
                  <c:v>8536.0954912306479</c:v>
                </c:pt>
                <c:pt idx="5">
                  <c:v>66948.960628934277</c:v>
                </c:pt>
                <c:pt idx="6">
                  <c:v>354.47178975499935</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036160"/>
        <c:axId val="183099392"/>
      </c:barChart>
      <c:catAx>
        <c:axId val="183036160"/>
        <c:scaling>
          <c:orientation val="minMax"/>
        </c:scaling>
        <c:axPos val="b"/>
        <c:numFmt formatCode="General" sourceLinked="0"/>
        <c:tickLblPos val="nextTo"/>
        <c:crossAx val="183099392"/>
        <c:crosses val="autoZero"/>
        <c:auto val="1"/>
        <c:lblAlgn val="ctr"/>
        <c:lblOffset val="100"/>
      </c:catAx>
      <c:valAx>
        <c:axId val="183099392"/>
        <c:scaling>
          <c:orientation val="minMax"/>
        </c:scaling>
        <c:axPos val="l"/>
        <c:majorGridlines/>
        <c:numFmt formatCode="#,##0" sourceLinked="1"/>
        <c:tickLblPos val="nextTo"/>
        <c:crossAx val="1830361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21537.69635346876</c:v>
                </c:pt>
                <c:pt idx="1">
                  <c:v>6976.2258880628933</c:v>
                </c:pt>
                <c:pt idx="2">
                  <c:v>217.046496527252</c:v>
                </c:pt>
                <c:pt idx="3">
                  <c:v>21855.656362489779</c:v>
                </c:pt>
                <c:pt idx="4">
                  <c:v>8536.0954912306479</c:v>
                </c:pt>
                <c:pt idx="5">
                  <c:v>66948.960628934277</c:v>
                </c:pt>
                <c:pt idx="6">
                  <c:v>354.47178975499935</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31012</v>
      </c>
      <c r="B6" s="415"/>
      <c r="C6" s="416"/>
    </row>
    <row r="7" spans="1:7" s="413" customFormat="1" ht="15.75" customHeight="1">
      <c r="A7" s="417" t="str">
        <f>txtMunicipality</f>
        <v>JABBEKE</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15715.170400000001</v>
      </c>
      <c r="D10" s="718">
        <f ca="1">tertiair!C16</f>
        <v>35.357142857142861</v>
      </c>
      <c r="E10" s="718">
        <f ca="1">tertiair!D16</f>
        <v>15918.973095781244</v>
      </c>
      <c r="F10" s="718">
        <f>tertiair!E16</f>
        <v>206.73061287313351</v>
      </c>
      <c r="G10" s="718">
        <f ca="1">tertiair!F16</f>
        <v>2489.746448093706</v>
      </c>
      <c r="H10" s="718">
        <f>tertiair!G16</f>
        <v>0</v>
      </c>
      <c r="I10" s="718">
        <f>tertiair!H16</f>
        <v>0</v>
      </c>
      <c r="J10" s="718">
        <f>tertiair!I16</f>
        <v>0</v>
      </c>
      <c r="K10" s="718">
        <f>tertiair!J16</f>
        <v>2.5185626611914411E-2</v>
      </c>
      <c r="L10" s="718">
        <f>tertiair!K16</f>
        <v>0</v>
      </c>
      <c r="M10" s="718">
        <f ca="1">tertiair!L16</f>
        <v>0</v>
      </c>
      <c r="N10" s="718">
        <f>tertiair!M16</f>
        <v>0</v>
      </c>
      <c r="O10" s="718">
        <f ca="1">tertiair!N16</f>
        <v>1019.9252299585266</v>
      </c>
      <c r="P10" s="718">
        <f>tertiair!O16</f>
        <v>0</v>
      </c>
      <c r="Q10" s="719">
        <f>tertiair!P16</f>
        <v>57.2</v>
      </c>
      <c r="R10" s="721">
        <f ca="1">SUM(C10:Q10)</f>
        <v>35443.128115190368</v>
      </c>
      <c r="S10" s="67"/>
    </row>
    <row r="11" spans="1:19" s="474" customFormat="1">
      <c r="A11" s="870" t="s">
        <v>225</v>
      </c>
      <c r="B11" s="875"/>
      <c r="C11" s="718">
        <f>huishoudens!B8</f>
        <v>25393.850805945774</v>
      </c>
      <c r="D11" s="718">
        <f>huishoudens!C8</f>
        <v>0</v>
      </c>
      <c r="E11" s="718">
        <f>huishoudens!D8</f>
        <v>55796.422815871512</v>
      </c>
      <c r="F11" s="718">
        <f>huishoudens!E8</f>
        <v>3949.0599283301444</v>
      </c>
      <c r="G11" s="718">
        <f>huishoudens!F8</f>
        <v>15380.231093711431</v>
      </c>
      <c r="H11" s="718">
        <f>huishoudens!G8</f>
        <v>0</v>
      </c>
      <c r="I11" s="718">
        <f>huishoudens!H8</f>
        <v>0</v>
      </c>
      <c r="J11" s="718">
        <f>huishoudens!I8</f>
        <v>0</v>
      </c>
      <c r="K11" s="718">
        <f>huishoudens!J8</f>
        <v>0</v>
      </c>
      <c r="L11" s="718">
        <f>huishoudens!K8</f>
        <v>0</v>
      </c>
      <c r="M11" s="718">
        <f>huishoudens!L8</f>
        <v>0</v>
      </c>
      <c r="N11" s="718">
        <f>huishoudens!M8</f>
        <v>0</v>
      </c>
      <c r="O11" s="718">
        <f>huishoudens!N8</f>
        <v>17075.972675781832</v>
      </c>
      <c r="P11" s="718">
        <f>huishoudens!O8</f>
        <v>320.48333333333335</v>
      </c>
      <c r="Q11" s="719">
        <f>huishoudens!P8</f>
        <v>743.6</v>
      </c>
      <c r="R11" s="721">
        <f>SUM(C11:Q11)</f>
        <v>118659.62065297404</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19039.950550000001</v>
      </c>
      <c r="D13" s="718">
        <f>industrie!C18</f>
        <v>0</v>
      </c>
      <c r="E13" s="718">
        <f>industrie!D18</f>
        <v>19158.619833618071</v>
      </c>
      <c r="F13" s="718">
        <f>industrie!E18</f>
        <v>643.68143825459401</v>
      </c>
      <c r="G13" s="718">
        <f>industrie!F18</f>
        <v>2143.4101807661532</v>
      </c>
      <c r="H13" s="718">
        <f>industrie!G18</f>
        <v>0</v>
      </c>
      <c r="I13" s="718">
        <f>industrie!H18</f>
        <v>0</v>
      </c>
      <c r="J13" s="718">
        <f>industrie!I18</f>
        <v>0</v>
      </c>
      <c r="K13" s="718">
        <f>industrie!J18</f>
        <v>2.4851553660876293</v>
      </c>
      <c r="L13" s="718">
        <f>industrie!K18</f>
        <v>0</v>
      </c>
      <c r="M13" s="718">
        <f>industrie!L18</f>
        <v>0</v>
      </c>
      <c r="N13" s="718">
        <f>industrie!M18</f>
        <v>0</v>
      </c>
      <c r="O13" s="718">
        <f>industrie!N18</f>
        <v>47447.050431534488</v>
      </c>
      <c r="P13" s="718">
        <f>industrie!O18</f>
        <v>0</v>
      </c>
      <c r="Q13" s="719">
        <f>industrie!P18</f>
        <v>0</v>
      </c>
      <c r="R13" s="721">
        <f>SUM(C13:Q13)</f>
        <v>88435.197589539399</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60148.971755945779</v>
      </c>
      <c r="D15" s="723">
        <f t="shared" ref="D15:Q15" ca="1" si="0">SUM(D9:D14)</f>
        <v>35.357142857142861</v>
      </c>
      <c r="E15" s="723">
        <f t="shared" ca="1" si="0"/>
        <v>90874.015745270823</v>
      </c>
      <c r="F15" s="723">
        <f t="shared" si="0"/>
        <v>4799.4719794578723</v>
      </c>
      <c r="G15" s="723">
        <f t="shared" ca="1" si="0"/>
        <v>20013.387722571289</v>
      </c>
      <c r="H15" s="723">
        <f t="shared" si="0"/>
        <v>0</v>
      </c>
      <c r="I15" s="723">
        <f t="shared" si="0"/>
        <v>0</v>
      </c>
      <c r="J15" s="723">
        <f t="shared" si="0"/>
        <v>0</v>
      </c>
      <c r="K15" s="723">
        <f t="shared" si="0"/>
        <v>2.5103409926995437</v>
      </c>
      <c r="L15" s="723">
        <f t="shared" si="0"/>
        <v>0</v>
      </c>
      <c r="M15" s="723">
        <f t="shared" ca="1" si="0"/>
        <v>0</v>
      </c>
      <c r="N15" s="723">
        <f t="shared" si="0"/>
        <v>0</v>
      </c>
      <c r="O15" s="723">
        <f t="shared" ca="1" si="0"/>
        <v>65542.948337274851</v>
      </c>
      <c r="P15" s="723">
        <f t="shared" si="0"/>
        <v>320.48333333333335</v>
      </c>
      <c r="Q15" s="724">
        <f t="shared" si="0"/>
        <v>800.80000000000007</v>
      </c>
      <c r="R15" s="725">
        <f ca="1">SUM(R9:R14)</f>
        <v>242537.94635770383</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1327.6096994569264</v>
      </c>
      <c r="I18" s="718">
        <f>transport!H54</f>
        <v>0</v>
      </c>
      <c r="J18" s="718">
        <f>transport!I54</f>
        <v>0</v>
      </c>
      <c r="K18" s="718">
        <f>transport!J54</f>
        <v>0</v>
      </c>
      <c r="L18" s="718">
        <f>transport!K54</f>
        <v>0</v>
      </c>
      <c r="M18" s="718">
        <f>transport!L54</f>
        <v>0</v>
      </c>
      <c r="N18" s="718">
        <f>transport!M54</f>
        <v>75.40237009472628</v>
      </c>
      <c r="O18" s="718">
        <f>transport!N54</f>
        <v>0</v>
      </c>
      <c r="P18" s="718">
        <f>transport!O54</f>
        <v>0</v>
      </c>
      <c r="Q18" s="719">
        <f>transport!P54</f>
        <v>0</v>
      </c>
      <c r="R18" s="721">
        <f>SUM(C18:Q18)</f>
        <v>1403.0120695516525</v>
      </c>
      <c r="S18" s="67"/>
    </row>
    <row r="19" spans="1:19" s="474" customFormat="1" ht="15" thickBot="1">
      <c r="A19" s="870" t="s">
        <v>307</v>
      </c>
      <c r="B19" s="875"/>
      <c r="C19" s="727">
        <f>transport!B14</f>
        <v>106.81241946230612</v>
      </c>
      <c r="D19" s="727">
        <f>transport!C14</f>
        <v>0</v>
      </c>
      <c r="E19" s="727">
        <f>transport!D14</f>
        <v>354.07157597056369</v>
      </c>
      <c r="F19" s="727">
        <f>transport!E14</f>
        <v>550.06613030764174</v>
      </c>
      <c r="G19" s="727">
        <f>transport!F14</f>
        <v>0</v>
      </c>
      <c r="H19" s="727">
        <f>transport!G14</f>
        <v>211569.0852104378</v>
      </c>
      <c r="I19" s="727">
        <f>transport!H14</f>
        <v>41130.467431726778</v>
      </c>
      <c r="J19" s="727">
        <f>transport!I14</f>
        <v>0</v>
      </c>
      <c r="K19" s="727">
        <f>transport!J14</f>
        <v>0</v>
      </c>
      <c r="L19" s="727">
        <f>transport!K14</f>
        <v>0</v>
      </c>
      <c r="M19" s="727">
        <f>transport!L14</f>
        <v>0</v>
      </c>
      <c r="N19" s="727">
        <f>transport!M14</f>
        <v>13581.830947222603</v>
      </c>
      <c r="O19" s="727">
        <f>transport!N14</f>
        <v>0</v>
      </c>
      <c r="P19" s="727">
        <f>transport!O14</f>
        <v>0</v>
      </c>
      <c r="Q19" s="728">
        <f>transport!P14</f>
        <v>0</v>
      </c>
      <c r="R19" s="729">
        <f>SUM(C19:Q19)</f>
        <v>267292.33371512772</v>
      </c>
      <c r="S19" s="67"/>
    </row>
    <row r="20" spans="1:19" s="474" customFormat="1" ht="15.75" thickBot="1">
      <c r="A20" s="730" t="s">
        <v>230</v>
      </c>
      <c r="B20" s="878"/>
      <c r="C20" s="873">
        <f>SUM(C17:C19)</f>
        <v>106.81241946230612</v>
      </c>
      <c r="D20" s="731">
        <f t="shared" ref="D20:R20" si="1">SUM(D17:D19)</f>
        <v>0</v>
      </c>
      <c r="E20" s="731">
        <f t="shared" si="1"/>
        <v>354.07157597056369</v>
      </c>
      <c r="F20" s="731">
        <f t="shared" si="1"/>
        <v>550.06613030764174</v>
      </c>
      <c r="G20" s="731">
        <f t="shared" si="1"/>
        <v>0</v>
      </c>
      <c r="H20" s="731">
        <f t="shared" si="1"/>
        <v>212896.69490989472</v>
      </c>
      <c r="I20" s="731">
        <f t="shared" si="1"/>
        <v>41130.467431726778</v>
      </c>
      <c r="J20" s="731">
        <f t="shared" si="1"/>
        <v>0</v>
      </c>
      <c r="K20" s="731">
        <f t="shared" si="1"/>
        <v>0</v>
      </c>
      <c r="L20" s="731">
        <f t="shared" si="1"/>
        <v>0</v>
      </c>
      <c r="M20" s="731">
        <f t="shared" si="1"/>
        <v>0</v>
      </c>
      <c r="N20" s="731">
        <f t="shared" si="1"/>
        <v>13657.233317317328</v>
      </c>
      <c r="O20" s="731">
        <f t="shared" si="1"/>
        <v>0</v>
      </c>
      <c r="P20" s="731">
        <f t="shared" si="1"/>
        <v>0</v>
      </c>
      <c r="Q20" s="732">
        <f t="shared" si="1"/>
        <v>0</v>
      </c>
      <c r="R20" s="733">
        <f t="shared" si="1"/>
        <v>268695.3457846794</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12658.498</v>
      </c>
      <c r="D22" s="727">
        <f>+landbouw!C8</f>
        <v>12919.5</v>
      </c>
      <c r="E22" s="727">
        <f>+landbouw!D8</f>
        <v>6744.4015956134172</v>
      </c>
      <c r="F22" s="727">
        <f>+landbouw!E8</f>
        <v>372.07191973549294</v>
      </c>
      <c r="G22" s="727">
        <f>+landbouw!F8</f>
        <v>52734.618638671178</v>
      </c>
      <c r="H22" s="727">
        <f>+landbouw!G8</f>
        <v>0</v>
      </c>
      <c r="I22" s="727">
        <f>+landbouw!H8</f>
        <v>0</v>
      </c>
      <c r="J22" s="727">
        <f>+landbouw!I8</f>
        <v>0</v>
      </c>
      <c r="K22" s="727">
        <f>+landbouw!J8</f>
        <v>1833.9445158436783</v>
      </c>
      <c r="L22" s="727">
        <f>+landbouw!K8</f>
        <v>0</v>
      </c>
      <c r="M22" s="727">
        <f>+landbouw!L8</f>
        <v>0</v>
      </c>
      <c r="N22" s="727">
        <f>+landbouw!M8</f>
        <v>0</v>
      </c>
      <c r="O22" s="727">
        <f>+landbouw!N8</f>
        <v>0</v>
      </c>
      <c r="P22" s="727">
        <f>+landbouw!O8</f>
        <v>0</v>
      </c>
      <c r="Q22" s="728">
        <f>+landbouw!P8</f>
        <v>0</v>
      </c>
      <c r="R22" s="729">
        <f>SUM(C22:Q22)</f>
        <v>87263.034669863759</v>
      </c>
      <c r="S22" s="67"/>
    </row>
    <row r="23" spans="1:19" s="474" customFormat="1" ht="17.25" thickTop="1" thickBot="1">
      <c r="A23" s="734" t="s">
        <v>116</v>
      </c>
      <c r="B23" s="864"/>
      <c r="C23" s="735">
        <f ca="1">C20+C15+C22</f>
        <v>72914.282175408094</v>
      </c>
      <c r="D23" s="735">
        <f t="shared" ref="D23:Q23" ca="1" si="2">D20+D15+D22</f>
        <v>12954.857142857143</v>
      </c>
      <c r="E23" s="735">
        <f t="shared" ca="1" si="2"/>
        <v>97972.488916854811</v>
      </c>
      <c r="F23" s="735">
        <f t="shared" si="2"/>
        <v>5721.6100295010065</v>
      </c>
      <c r="G23" s="735">
        <f t="shared" ca="1" si="2"/>
        <v>72748.006361242471</v>
      </c>
      <c r="H23" s="735">
        <f t="shared" si="2"/>
        <v>212896.69490989472</v>
      </c>
      <c r="I23" s="735">
        <f t="shared" si="2"/>
        <v>41130.467431726778</v>
      </c>
      <c r="J23" s="735">
        <f t="shared" si="2"/>
        <v>0</v>
      </c>
      <c r="K23" s="735">
        <f t="shared" si="2"/>
        <v>1836.454856836378</v>
      </c>
      <c r="L23" s="735">
        <f t="shared" si="2"/>
        <v>0</v>
      </c>
      <c r="M23" s="735">
        <f t="shared" ca="1" si="2"/>
        <v>0</v>
      </c>
      <c r="N23" s="735">
        <f t="shared" si="2"/>
        <v>13657.233317317328</v>
      </c>
      <c r="O23" s="735">
        <f t="shared" ca="1" si="2"/>
        <v>65542.948337274851</v>
      </c>
      <c r="P23" s="735">
        <f t="shared" si="2"/>
        <v>320.48333333333335</v>
      </c>
      <c r="Q23" s="736">
        <f t="shared" si="2"/>
        <v>800.80000000000007</v>
      </c>
      <c r="R23" s="737">
        <f ca="1">R20+R15+R22</f>
        <v>598496.32681224705</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3257.5786766049491</v>
      </c>
      <c r="D36" s="718">
        <f ca="1">tertiair!C20</f>
        <v>8.3620761623426692</v>
      </c>
      <c r="E36" s="718">
        <f ca="1">tertiair!D20</f>
        <v>3215.6325653478116</v>
      </c>
      <c r="F36" s="718">
        <f>tertiair!E20</f>
        <v>46.927849122201309</v>
      </c>
      <c r="G36" s="718">
        <f ca="1">tertiair!F20</f>
        <v>664.76230164101958</v>
      </c>
      <c r="H36" s="718">
        <f>tertiair!G20</f>
        <v>0</v>
      </c>
      <c r="I36" s="718">
        <f>tertiair!H20</f>
        <v>0</v>
      </c>
      <c r="J36" s="718">
        <f>tertiair!I20</f>
        <v>0</v>
      </c>
      <c r="K36" s="718">
        <f>tertiair!J20</f>
        <v>8.9157118206177003E-3</v>
      </c>
      <c r="L36" s="718">
        <f>tertiair!K20</f>
        <v>0</v>
      </c>
      <c r="M36" s="718">
        <f ca="1">tertiair!L20</f>
        <v>0</v>
      </c>
      <c r="N36" s="718">
        <f>tertiair!M20</f>
        <v>0</v>
      </c>
      <c r="O36" s="718">
        <f ca="1">tertiair!N20</f>
        <v>0</v>
      </c>
      <c r="P36" s="718">
        <f>tertiair!O20</f>
        <v>0</v>
      </c>
      <c r="Q36" s="828">
        <f>tertiair!P20</f>
        <v>0</v>
      </c>
      <c r="R36" s="917">
        <f ca="1">SUM(C36:Q36)</f>
        <v>7193.2723845901455</v>
      </c>
    </row>
    <row r="37" spans="1:18">
      <c r="A37" s="885" t="s">
        <v>225</v>
      </c>
      <c r="B37" s="892"/>
      <c r="C37" s="718">
        <f ca="1">huishoudens!B12</f>
        <v>5263.8606389108163</v>
      </c>
      <c r="D37" s="718">
        <f ca="1">huishoudens!C12</f>
        <v>0</v>
      </c>
      <c r="E37" s="718">
        <f>huishoudens!D12</f>
        <v>11270.877408806045</v>
      </c>
      <c r="F37" s="718">
        <f>huishoudens!E12</f>
        <v>896.43660373094281</v>
      </c>
      <c r="G37" s="718">
        <f>huishoudens!F12</f>
        <v>4106.521702020952</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21537.69635346876</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3946.7683350918464</v>
      </c>
      <c r="D39" s="718">
        <f ca="1">industrie!C22</f>
        <v>0</v>
      </c>
      <c r="E39" s="718">
        <f>industrie!D22</f>
        <v>3870.0412063908507</v>
      </c>
      <c r="F39" s="718">
        <f>industrie!E22</f>
        <v>146.11568648379284</v>
      </c>
      <c r="G39" s="718">
        <f>industrie!F22</f>
        <v>572.29051826456293</v>
      </c>
      <c r="H39" s="718">
        <f>industrie!G22</f>
        <v>0</v>
      </c>
      <c r="I39" s="718">
        <f>industrie!H22</f>
        <v>0</v>
      </c>
      <c r="J39" s="718">
        <f>industrie!I22</f>
        <v>0</v>
      </c>
      <c r="K39" s="718">
        <f>industrie!J22</f>
        <v>0.87974499959502073</v>
      </c>
      <c r="L39" s="718">
        <f>industrie!K22</f>
        <v>0</v>
      </c>
      <c r="M39" s="718">
        <f>industrie!L22</f>
        <v>0</v>
      </c>
      <c r="N39" s="718">
        <f>industrie!M22</f>
        <v>0</v>
      </c>
      <c r="O39" s="718">
        <f>industrie!N22</f>
        <v>0</v>
      </c>
      <c r="P39" s="718">
        <f>industrie!O22</f>
        <v>0</v>
      </c>
      <c r="Q39" s="828">
        <f>industrie!P22</f>
        <v>0</v>
      </c>
      <c r="R39" s="918">
        <f ca="1">SUM(C39:Q39)</f>
        <v>8536.0954912306479</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12468.207650607612</v>
      </c>
      <c r="D41" s="763">
        <f t="shared" ref="D41:R41" ca="1" si="4">SUM(D35:D40)</f>
        <v>8.3620761623426692</v>
      </c>
      <c r="E41" s="763">
        <f t="shared" ca="1" si="4"/>
        <v>18356.551180544709</v>
      </c>
      <c r="F41" s="763">
        <f t="shared" si="4"/>
        <v>1089.4801393369371</v>
      </c>
      <c r="G41" s="763">
        <f t="shared" ca="1" si="4"/>
        <v>5343.5745219265345</v>
      </c>
      <c r="H41" s="763">
        <f t="shared" si="4"/>
        <v>0</v>
      </c>
      <c r="I41" s="763">
        <f t="shared" si="4"/>
        <v>0</v>
      </c>
      <c r="J41" s="763">
        <f t="shared" si="4"/>
        <v>0</v>
      </c>
      <c r="K41" s="763">
        <f t="shared" si="4"/>
        <v>0.8886607114156384</v>
      </c>
      <c r="L41" s="763">
        <f t="shared" si="4"/>
        <v>0</v>
      </c>
      <c r="M41" s="763">
        <f t="shared" ca="1" si="4"/>
        <v>0</v>
      </c>
      <c r="N41" s="763">
        <f t="shared" si="4"/>
        <v>0</v>
      </c>
      <c r="O41" s="763">
        <f t="shared" ca="1" si="4"/>
        <v>0</v>
      </c>
      <c r="P41" s="763">
        <f t="shared" si="4"/>
        <v>0</v>
      </c>
      <c r="Q41" s="764">
        <f t="shared" si="4"/>
        <v>0</v>
      </c>
      <c r="R41" s="765">
        <f t="shared" ca="1" si="4"/>
        <v>37267.06422928955</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354.47178975499935</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354.47178975499935</v>
      </c>
    </row>
    <row r="45" spans="1:18" ht="15" thickBot="1">
      <c r="A45" s="888" t="s">
        <v>307</v>
      </c>
      <c r="B45" s="898"/>
      <c r="C45" s="727">
        <f ca="1">transport!B18</f>
        <v>22.141017321517037</v>
      </c>
      <c r="D45" s="727">
        <f>transport!C18</f>
        <v>0</v>
      </c>
      <c r="E45" s="727">
        <f>transport!D18</f>
        <v>71.522458346053867</v>
      </c>
      <c r="F45" s="727">
        <f>transport!E18</f>
        <v>124.86501157983469</v>
      </c>
      <c r="G45" s="727">
        <f>transport!F18</f>
        <v>0</v>
      </c>
      <c r="H45" s="727">
        <f>transport!G18</f>
        <v>56488.945751186897</v>
      </c>
      <c r="I45" s="727">
        <f>transport!H18</f>
        <v>10241.486390499967</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66948.960628934277</v>
      </c>
    </row>
    <row r="46" spans="1:18" ht="15.75" thickBot="1">
      <c r="A46" s="886" t="s">
        <v>230</v>
      </c>
      <c r="B46" s="899"/>
      <c r="C46" s="763">
        <f t="shared" ref="C46:R46" ca="1" si="5">SUM(C43:C45)</f>
        <v>22.141017321517037</v>
      </c>
      <c r="D46" s="763">
        <f t="shared" ca="1" si="5"/>
        <v>0</v>
      </c>
      <c r="E46" s="763">
        <f t="shared" si="5"/>
        <v>71.522458346053867</v>
      </c>
      <c r="F46" s="763">
        <f t="shared" si="5"/>
        <v>124.86501157983469</v>
      </c>
      <c r="G46" s="763">
        <f t="shared" si="5"/>
        <v>0</v>
      </c>
      <c r="H46" s="763">
        <f t="shared" si="5"/>
        <v>56843.417540941897</v>
      </c>
      <c r="I46" s="763">
        <f t="shared" si="5"/>
        <v>10241.486390499967</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67303.432418689277</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2623.964749542034</v>
      </c>
      <c r="D48" s="718">
        <f ca="1">+landbouw!C12</f>
        <v>3055.5026297200106</v>
      </c>
      <c r="E48" s="718">
        <f>+landbouw!D12</f>
        <v>1362.3691223139103</v>
      </c>
      <c r="F48" s="718">
        <f>+landbouw!E12</f>
        <v>84.460325779956904</v>
      </c>
      <c r="G48" s="718">
        <f>+landbouw!F12</f>
        <v>14080.143176525205</v>
      </c>
      <c r="H48" s="718">
        <f>+landbouw!G12</f>
        <v>0</v>
      </c>
      <c r="I48" s="718">
        <f>+landbouw!H12</f>
        <v>0</v>
      </c>
      <c r="J48" s="718">
        <f>+landbouw!I12</f>
        <v>0</v>
      </c>
      <c r="K48" s="718">
        <f>+landbouw!J12</f>
        <v>649.21635860866206</v>
      </c>
      <c r="L48" s="718">
        <f>+landbouw!K12</f>
        <v>0</v>
      </c>
      <c r="M48" s="718">
        <f>+landbouw!L12</f>
        <v>0</v>
      </c>
      <c r="N48" s="718">
        <f>+landbouw!M12</f>
        <v>0</v>
      </c>
      <c r="O48" s="718">
        <f>+landbouw!N12</f>
        <v>0</v>
      </c>
      <c r="P48" s="718">
        <f>+landbouw!O12</f>
        <v>0</v>
      </c>
      <c r="Q48" s="719">
        <f>+landbouw!P12</f>
        <v>0</v>
      </c>
      <c r="R48" s="761">
        <f ca="1">SUM(C48:Q48)</f>
        <v>21855.656362489779</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15114.313417471163</v>
      </c>
      <c r="D53" s="773">
        <f t="shared" ref="D53:Q53" ca="1" si="6">D41+D46+D48</f>
        <v>3063.8647058823535</v>
      </c>
      <c r="E53" s="773">
        <f t="shared" ca="1" si="6"/>
        <v>19790.442761204675</v>
      </c>
      <c r="F53" s="773">
        <f t="shared" si="6"/>
        <v>1298.8054766967286</v>
      </c>
      <c r="G53" s="773">
        <f t="shared" ca="1" si="6"/>
        <v>19423.717698451739</v>
      </c>
      <c r="H53" s="773">
        <f t="shared" si="6"/>
        <v>56843.417540941897</v>
      </c>
      <c r="I53" s="773">
        <f t="shared" si="6"/>
        <v>10241.486390499967</v>
      </c>
      <c r="J53" s="773">
        <f t="shared" si="6"/>
        <v>0</v>
      </c>
      <c r="K53" s="773">
        <f t="shared" si="6"/>
        <v>650.10501932007764</v>
      </c>
      <c r="L53" s="773">
        <f t="shared" si="6"/>
        <v>0</v>
      </c>
      <c r="M53" s="773">
        <f t="shared" ca="1" si="6"/>
        <v>0</v>
      </c>
      <c r="N53" s="773">
        <f t="shared" si="6"/>
        <v>0</v>
      </c>
      <c r="O53" s="773">
        <f t="shared" ca="1" si="6"/>
        <v>0</v>
      </c>
      <c r="P53" s="773">
        <f>P41+P46+P48</f>
        <v>0</v>
      </c>
      <c r="Q53" s="774">
        <f t="shared" si="6"/>
        <v>0</v>
      </c>
      <c r="R53" s="775">
        <f ca="1">R41+R46+R48</f>
        <v>126426.15301046861</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0.20728879125643768</v>
      </c>
      <c r="D55" s="836">
        <f t="shared" ca="1" si="7"/>
        <v>0.23650316418746939</v>
      </c>
      <c r="E55" s="836">
        <f t="shared" ca="1" si="7"/>
        <v>0.20200000000000004</v>
      </c>
      <c r="F55" s="836">
        <f t="shared" si="7"/>
        <v>0.22700000000000004</v>
      </c>
      <c r="G55" s="836">
        <f t="shared" ca="1" si="7"/>
        <v>0.26700000000000002</v>
      </c>
      <c r="H55" s="836">
        <f t="shared" si="7"/>
        <v>0.26700000000000002</v>
      </c>
      <c r="I55" s="836">
        <f t="shared" si="7"/>
        <v>0.249</v>
      </c>
      <c r="J55" s="836">
        <f t="shared" si="7"/>
        <v>0</v>
      </c>
      <c r="K55" s="836">
        <f t="shared" si="7"/>
        <v>0.35399999999999993</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5159.8725674736324</v>
      </c>
      <c r="C66" s="795">
        <f>'lokale energieproductie'!B6</f>
        <v>5159.8725674736324</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9068.4</v>
      </c>
      <c r="C67" s="794">
        <f>B67*IFERROR(SUM(J67:L67)/SUM(D67:M67),0)</f>
        <v>43.649999999999991</v>
      </c>
      <c r="D67" s="826">
        <f>'lokale energieproductie'!C7</f>
        <v>10617.352941176472</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51.35294117647058</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2144.7052941176476</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14228.272567473632</v>
      </c>
      <c r="C69" s="803">
        <f>SUM(C64:C68)</f>
        <v>5203.5225674736321</v>
      </c>
      <c r="D69" s="804">
        <f t="shared" ref="D69:M69" si="8">SUM(D67:D68)</f>
        <v>10617.352941176472</v>
      </c>
      <c r="E69" s="804">
        <f t="shared" si="8"/>
        <v>0</v>
      </c>
      <c r="F69" s="804">
        <f t="shared" si="8"/>
        <v>0</v>
      </c>
      <c r="G69" s="804">
        <f t="shared" si="8"/>
        <v>0</v>
      </c>
      <c r="H69" s="804">
        <f t="shared" si="8"/>
        <v>0</v>
      </c>
      <c r="I69" s="804">
        <f t="shared" si="8"/>
        <v>0</v>
      </c>
      <c r="J69" s="804">
        <f t="shared" si="8"/>
        <v>0</v>
      </c>
      <c r="K69" s="804">
        <f t="shared" si="8"/>
        <v>51.35294117647058</v>
      </c>
      <c r="L69" s="804">
        <f t="shared" si="8"/>
        <v>0</v>
      </c>
      <c r="M69" s="930">
        <f t="shared" si="8"/>
        <v>0</v>
      </c>
      <c r="N69" s="805">
        <v>0</v>
      </c>
      <c r="O69" s="805">
        <f>SUM(O67:O68)</f>
        <v>2144.7052941176476</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12954.857142857143</v>
      </c>
      <c r="C78" s="817">
        <f>B78*IFERROR(SUM(I78:L78)/SUM(D78:M78),0)</f>
        <v>62.357142857142833</v>
      </c>
      <c r="D78" s="832">
        <f>'lokale energieproductie'!C16</f>
        <v>15167.647058823532</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73.361344537815114</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3063.8647058823535</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12954.857142857143</v>
      </c>
      <c r="C81" s="803">
        <f>SUM(C78:C80)</f>
        <v>62.357142857142833</v>
      </c>
      <c r="D81" s="803">
        <f t="shared" ref="D81:P81" si="9">SUM(D78:D80)</f>
        <v>15167.647058823532</v>
      </c>
      <c r="E81" s="803">
        <f t="shared" si="9"/>
        <v>0</v>
      </c>
      <c r="F81" s="803">
        <f t="shared" si="9"/>
        <v>0</v>
      </c>
      <c r="G81" s="803">
        <f t="shared" si="9"/>
        <v>0</v>
      </c>
      <c r="H81" s="803">
        <f t="shared" si="9"/>
        <v>0</v>
      </c>
      <c r="I81" s="803">
        <f t="shared" si="9"/>
        <v>0</v>
      </c>
      <c r="J81" s="803">
        <f t="shared" si="9"/>
        <v>0</v>
      </c>
      <c r="K81" s="803">
        <f t="shared" si="9"/>
        <v>73.361344537815114</v>
      </c>
      <c r="L81" s="803">
        <f t="shared" si="9"/>
        <v>0</v>
      </c>
      <c r="M81" s="803">
        <f t="shared" si="9"/>
        <v>0</v>
      </c>
      <c r="N81" s="803">
        <v>0</v>
      </c>
      <c r="O81" s="803">
        <f>SUM(O78:O80)</f>
        <v>3063.8647058823535</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25393.850805945774</v>
      </c>
      <c r="C4" s="478">
        <f>huishoudens!C8</f>
        <v>0</v>
      </c>
      <c r="D4" s="478">
        <f>huishoudens!D8</f>
        <v>55796.422815871512</v>
      </c>
      <c r="E4" s="478">
        <f>huishoudens!E8</f>
        <v>3949.0599283301444</v>
      </c>
      <c r="F4" s="478">
        <f>huishoudens!F8</f>
        <v>15380.231093711431</v>
      </c>
      <c r="G4" s="478">
        <f>huishoudens!G8</f>
        <v>0</v>
      </c>
      <c r="H4" s="478">
        <f>huishoudens!H8</f>
        <v>0</v>
      </c>
      <c r="I4" s="478">
        <f>huishoudens!I8</f>
        <v>0</v>
      </c>
      <c r="J4" s="478">
        <f>huishoudens!J8</f>
        <v>0</v>
      </c>
      <c r="K4" s="478">
        <f>huishoudens!K8</f>
        <v>0</v>
      </c>
      <c r="L4" s="478">
        <f>huishoudens!L8</f>
        <v>0</v>
      </c>
      <c r="M4" s="478">
        <f>huishoudens!M8</f>
        <v>0</v>
      </c>
      <c r="N4" s="478">
        <f>huishoudens!N8</f>
        <v>17075.972675781832</v>
      </c>
      <c r="O4" s="478">
        <f>huishoudens!O8</f>
        <v>320.48333333333335</v>
      </c>
      <c r="P4" s="479">
        <f>huishoudens!P8</f>
        <v>743.6</v>
      </c>
      <c r="Q4" s="480">
        <f>SUM(B4:P4)</f>
        <v>118659.62065297404</v>
      </c>
    </row>
    <row r="5" spans="1:17">
      <c r="A5" s="477" t="s">
        <v>156</v>
      </c>
      <c r="B5" s="478">
        <f ca="1">tertiair!B16</f>
        <v>14668.097400000001</v>
      </c>
      <c r="C5" s="478">
        <f ca="1">tertiair!C16</f>
        <v>35.357142857142861</v>
      </c>
      <c r="D5" s="478">
        <f ca="1">tertiair!D16</f>
        <v>15918.973095781244</v>
      </c>
      <c r="E5" s="478">
        <f>tertiair!E16</f>
        <v>206.73061287313351</v>
      </c>
      <c r="F5" s="478">
        <f ca="1">tertiair!F16</f>
        <v>2489.746448093706</v>
      </c>
      <c r="G5" s="478">
        <f>tertiair!G16</f>
        <v>0</v>
      </c>
      <c r="H5" s="478">
        <f>tertiair!H16</f>
        <v>0</v>
      </c>
      <c r="I5" s="478">
        <f>tertiair!I16</f>
        <v>0</v>
      </c>
      <c r="J5" s="478">
        <f>tertiair!J16</f>
        <v>2.5185626611914411E-2</v>
      </c>
      <c r="K5" s="478">
        <f>tertiair!K16</f>
        <v>0</v>
      </c>
      <c r="L5" s="478">
        <f ca="1">tertiair!L16</f>
        <v>0</v>
      </c>
      <c r="M5" s="478">
        <f>tertiair!M16</f>
        <v>0</v>
      </c>
      <c r="N5" s="478">
        <f ca="1">tertiair!N16</f>
        <v>1019.9252299585266</v>
      </c>
      <c r="O5" s="478">
        <f>tertiair!O16</f>
        <v>0</v>
      </c>
      <c r="P5" s="479">
        <f>tertiair!P16</f>
        <v>57.2</v>
      </c>
      <c r="Q5" s="477">
        <f t="shared" ref="Q5:Q13" ca="1" si="0">SUM(B5:P5)</f>
        <v>34396.055115190364</v>
      </c>
    </row>
    <row r="6" spans="1:17">
      <c r="A6" s="477" t="s">
        <v>194</v>
      </c>
      <c r="B6" s="478">
        <f>'openbare verlichting'!B8</f>
        <v>1047.0730000000001</v>
      </c>
      <c r="C6" s="478"/>
      <c r="D6" s="478"/>
      <c r="E6" s="478"/>
      <c r="F6" s="478"/>
      <c r="G6" s="478"/>
      <c r="H6" s="478"/>
      <c r="I6" s="478"/>
      <c r="J6" s="478"/>
      <c r="K6" s="478"/>
      <c r="L6" s="478"/>
      <c r="M6" s="478"/>
      <c r="N6" s="478"/>
      <c r="O6" s="478"/>
      <c r="P6" s="479"/>
      <c r="Q6" s="477">
        <f t="shared" si="0"/>
        <v>1047.0730000000001</v>
      </c>
    </row>
    <row r="7" spans="1:17">
      <c r="A7" s="477" t="s">
        <v>112</v>
      </c>
      <c r="B7" s="478">
        <f>landbouw!B8</f>
        <v>12658.498</v>
      </c>
      <c r="C7" s="478">
        <f>landbouw!C8</f>
        <v>12919.5</v>
      </c>
      <c r="D7" s="478">
        <f>landbouw!D8</f>
        <v>6744.4015956134172</v>
      </c>
      <c r="E7" s="478">
        <f>landbouw!E8</f>
        <v>372.07191973549294</v>
      </c>
      <c r="F7" s="478">
        <f>landbouw!F8</f>
        <v>52734.618638671178</v>
      </c>
      <c r="G7" s="478">
        <f>landbouw!G8</f>
        <v>0</v>
      </c>
      <c r="H7" s="478">
        <f>landbouw!H8</f>
        <v>0</v>
      </c>
      <c r="I7" s="478">
        <f>landbouw!I8</f>
        <v>0</v>
      </c>
      <c r="J7" s="478">
        <f>landbouw!J8</f>
        <v>1833.9445158436783</v>
      </c>
      <c r="K7" s="478">
        <f>landbouw!K8</f>
        <v>0</v>
      </c>
      <c r="L7" s="478">
        <f>landbouw!L8</f>
        <v>0</v>
      </c>
      <c r="M7" s="478">
        <f>landbouw!M8</f>
        <v>0</v>
      </c>
      <c r="N7" s="478">
        <f>landbouw!N8</f>
        <v>0</v>
      </c>
      <c r="O7" s="478">
        <f>landbouw!O8</f>
        <v>0</v>
      </c>
      <c r="P7" s="479">
        <f>landbouw!P8</f>
        <v>0</v>
      </c>
      <c r="Q7" s="477">
        <f t="shared" si="0"/>
        <v>87263.034669863759</v>
      </c>
    </row>
    <row r="8" spans="1:17">
      <c r="A8" s="477" t="s">
        <v>635</v>
      </c>
      <c r="B8" s="478">
        <f>industrie!B18</f>
        <v>19039.950550000001</v>
      </c>
      <c r="C8" s="478">
        <f>industrie!C18</f>
        <v>0</v>
      </c>
      <c r="D8" s="478">
        <f>industrie!D18</f>
        <v>19158.619833618071</v>
      </c>
      <c r="E8" s="478">
        <f>industrie!E18</f>
        <v>643.68143825459401</v>
      </c>
      <c r="F8" s="478">
        <f>industrie!F18</f>
        <v>2143.4101807661532</v>
      </c>
      <c r="G8" s="478">
        <f>industrie!G18</f>
        <v>0</v>
      </c>
      <c r="H8" s="478">
        <f>industrie!H18</f>
        <v>0</v>
      </c>
      <c r="I8" s="478">
        <f>industrie!I18</f>
        <v>0</v>
      </c>
      <c r="J8" s="478">
        <f>industrie!J18</f>
        <v>2.4851553660876293</v>
      </c>
      <c r="K8" s="478">
        <f>industrie!K18</f>
        <v>0</v>
      </c>
      <c r="L8" s="478">
        <f>industrie!L18</f>
        <v>0</v>
      </c>
      <c r="M8" s="478">
        <f>industrie!M18</f>
        <v>0</v>
      </c>
      <c r="N8" s="478">
        <f>industrie!N18</f>
        <v>47447.050431534488</v>
      </c>
      <c r="O8" s="478">
        <f>industrie!O18</f>
        <v>0</v>
      </c>
      <c r="P8" s="479">
        <f>industrie!P18</f>
        <v>0</v>
      </c>
      <c r="Q8" s="477">
        <f t="shared" si="0"/>
        <v>88435.197589539399</v>
      </c>
    </row>
    <row r="9" spans="1:17" s="483" customFormat="1">
      <c r="A9" s="481" t="s">
        <v>561</v>
      </c>
      <c r="B9" s="482">
        <f>transport!B14</f>
        <v>106.81241946230612</v>
      </c>
      <c r="C9" s="482">
        <f>transport!C14</f>
        <v>0</v>
      </c>
      <c r="D9" s="482">
        <f>transport!D14</f>
        <v>354.07157597056369</v>
      </c>
      <c r="E9" s="482">
        <f>transport!E14</f>
        <v>550.06613030764174</v>
      </c>
      <c r="F9" s="482">
        <f>transport!F14</f>
        <v>0</v>
      </c>
      <c r="G9" s="482">
        <f>transport!G14</f>
        <v>211569.0852104378</v>
      </c>
      <c r="H9" s="482">
        <f>transport!H14</f>
        <v>41130.467431726778</v>
      </c>
      <c r="I9" s="482">
        <f>transport!I14</f>
        <v>0</v>
      </c>
      <c r="J9" s="482">
        <f>transport!J14</f>
        <v>0</v>
      </c>
      <c r="K9" s="482">
        <f>transport!K14</f>
        <v>0</v>
      </c>
      <c r="L9" s="482">
        <f>transport!L14</f>
        <v>0</v>
      </c>
      <c r="M9" s="482">
        <f>transport!M14</f>
        <v>13581.830947222603</v>
      </c>
      <c r="N9" s="482">
        <f>transport!N14</f>
        <v>0</v>
      </c>
      <c r="O9" s="482">
        <f>transport!O14</f>
        <v>0</v>
      </c>
      <c r="P9" s="482">
        <f>transport!P14</f>
        <v>0</v>
      </c>
      <c r="Q9" s="481">
        <f>SUM(B9:P9)</f>
        <v>267292.33371512772</v>
      </c>
    </row>
    <row r="10" spans="1:17">
      <c r="A10" s="477" t="s">
        <v>551</v>
      </c>
      <c r="B10" s="478">
        <f>transport!B54</f>
        <v>0</v>
      </c>
      <c r="C10" s="478">
        <f>transport!C54</f>
        <v>0</v>
      </c>
      <c r="D10" s="478">
        <f>transport!D54</f>
        <v>0</v>
      </c>
      <c r="E10" s="478">
        <f>transport!E54</f>
        <v>0</v>
      </c>
      <c r="F10" s="478">
        <f>transport!F54</f>
        <v>0</v>
      </c>
      <c r="G10" s="478">
        <f>transport!G54</f>
        <v>1327.6096994569264</v>
      </c>
      <c r="H10" s="478">
        <f>transport!H54</f>
        <v>0</v>
      </c>
      <c r="I10" s="478">
        <f>transport!I54</f>
        <v>0</v>
      </c>
      <c r="J10" s="478">
        <f>transport!J54</f>
        <v>0</v>
      </c>
      <c r="K10" s="478">
        <f>transport!K54</f>
        <v>0</v>
      </c>
      <c r="L10" s="478">
        <f>transport!L54</f>
        <v>0</v>
      </c>
      <c r="M10" s="478">
        <f>transport!M54</f>
        <v>75.40237009472628</v>
      </c>
      <c r="N10" s="478">
        <f>transport!N54</f>
        <v>0</v>
      </c>
      <c r="O10" s="478">
        <f>transport!O54</f>
        <v>0</v>
      </c>
      <c r="P10" s="479">
        <f>transport!P54</f>
        <v>0</v>
      </c>
      <c r="Q10" s="477">
        <f t="shared" si="0"/>
        <v>1403.0120695516525</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72914.28217540808</v>
      </c>
      <c r="C14" s="488">
        <f t="shared" ref="C14:Q14" ca="1" si="1">SUM(C4:C13)</f>
        <v>12954.857142857143</v>
      </c>
      <c r="D14" s="488">
        <f t="shared" ca="1" si="1"/>
        <v>97972.488916854796</v>
      </c>
      <c r="E14" s="488">
        <f t="shared" si="1"/>
        <v>5721.6100295010056</v>
      </c>
      <c r="F14" s="488">
        <f t="shared" ca="1" si="1"/>
        <v>72748.006361242456</v>
      </c>
      <c r="G14" s="488">
        <f t="shared" si="1"/>
        <v>212896.69490989472</v>
      </c>
      <c r="H14" s="488">
        <f t="shared" si="1"/>
        <v>41130.467431726778</v>
      </c>
      <c r="I14" s="488">
        <f t="shared" si="1"/>
        <v>0</v>
      </c>
      <c r="J14" s="488">
        <f t="shared" si="1"/>
        <v>1836.4548568363778</v>
      </c>
      <c r="K14" s="488">
        <f t="shared" si="1"/>
        <v>0</v>
      </c>
      <c r="L14" s="488">
        <f t="shared" ca="1" si="1"/>
        <v>0</v>
      </c>
      <c r="M14" s="488">
        <f t="shared" si="1"/>
        <v>13657.233317317328</v>
      </c>
      <c r="N14" s="488">
        <f t="shared" ca="1" si="1"/>
        <v>65542.948337274851</v>
      </c>
      <c r="O14" s="488">
        <f t="shared" si="1"/>
        <v>320.48333333333335</v>
      </c>
      <c r="P14" s="489">
        <f t="shared" si="1"/>
        <v>800.80000000000007</v>
      </c>
      <c r="Q14" s="489">
        <f t="shared" ca="1" si="1"/>
        <v>598496.32681224693</v>
      </c>
    </row>
    <row r="16" spans="1:17">
      <c r="A16" s="491" t="s">
        <v>556</v>
      </c>
      <c r="B16" s="841">
        <f ca="1">huishoudens!B10</f>
        <v>0.2072887912564377</v>
      </c>
      <c r="C16" s="841">
        <f ca="1">huishoudens!C10</f>
        <v>0.23650316418746939</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5263.8606389108163</v>
      </c>
      <c r="C21" s="478">
        <f t="shared" ref="C21:C30" ca="1" si="3">C4*$C$16</f>
        <v>0</v>
      </c>
      <c r="D21" s="478">
        <f t="shared" ref="D21:D30" si="4">D4*$D$16</f>
        <v>11270.877408806045</v>
      </c>
      <c r="E21" s="478">
        <f t="shared" ref="E21:E30" si="5">E4*$E$16</f>
        <v>896.43660373094281</v>
      </c>
      <c r="F21" s="478">
        <f t="shared" ref="F21:F30" si="6">F4*$F$16</f>
        <v>4106.521702020952</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21537.69635346876</v>
      </c>
    </row>
    <row r="22" spans="1:17">
      <c r="A22" s="477" t="s">
        <v>156</v>
      </c>
      <c r="B22" s="478">
        <f t="shared" ca="1" si="2"/>
        <v>3040.5321800776969</v>
      </c>
      <c r="C22" s="478">
        <f t="shared" ca="1" si="3"/>
        <v>8.3620761623426692</v>
      </c>
      <c r="D22" s="478">
        <f t="shared" ca="1" si="4"/>
        <v>3215.6325653478116</v>
      </c>
      <c r="E22" s="478">
        <f t="shared" si="5"/>
        <v>46.927849122201309</v>
      </c>
      <c r="F22" s="478">
        <f t="shared" ca="1" si="6"/>
        <v>664.76230164101958</v>
      </c>
      <c r="G22" s="478">
        <f t="shared" si="7"/>
        <v>0</v>
      </c>
      <c r="H22" s="478">
        <f t="shared" si="8"/>
        <v>0</v>
      </c>
      <c r="I22" s="478">
        <f t="shared" si="9"/>
        <v>0</v>
      </c>
      <c r="J22" s="478">
        <f t="shared" si="10"/>
        <v>8.9157118206177003E-3</v>
      </c>
      <c r="K22" s="478">
        <f t="shared" si="11"/>
        <v>0</v>
      </c>
      <c r="L22" s="478">
        <f t="shared" ca="1" si="12"/>
        <v>0</v>
      </c>
      <c r="M22" s="478">
        <f t="shared" si="13"/>
        <v>0</v>
      </c>
      <c r="N22" s="478">
        <f t="shared" ca="1" si="14"/>
        <v>0</v>
      </c>
      <c r="O22" s="478">
        <f t="shared" si="15"/>
        <v>0</v>
      </c>
      <c r="P22" s="479">
        <f t="shared" si="16"/>
        <v>0</v>
      </c>
      <c r="Q22" s="477">
        <f t="shared" ref="Q22:Q30" ca="1" si="17">SUM(B22:P22)</f>
        <v>6976.2258880628933</v>
      </c>
    </row>
    <row r="23" spans="1:17">
      <c r="A23" s="477" t="s">
        <v>194</v>
      </c>
      <c r="B23" s="478">
        <f t="shared" ca="1" si="2"/>
        <v>217.046496527252</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217.046496527252</v>
      </c>
    </row>
    <row r="24" spans="1:17">
      <c r="A24" s="477" t="s">
        <v>112</v>
      </c>
      <c r="B24" s="478">
        <f t="shared" ca="1" si="2"/>
        <v>2623.964749542034</v>
      </c>
      <c r="C24" s="478">
        <f t="shared" ca="1" si="3"/>
        <v>3055.5026297200106</v>
      </c>
      <c r="D24" s="478">
        <f t="shared" si="4"/>
        <v>1362.3691223139103</v>
      </c>
      <c r="E24" s="478">
        <f t="shared" si="5"/>
        <v>84.460325779956904</v>
      </c>
      <c r="F24" s="478">
        <f t="shared" si="6"/>
        <v>14080.143176525205</v>
      </c>
      <c r="G24" s="478">
        <f t="shared" si="7"/>
        <v>0</v>
      </c>
      <c r="H24" s="478">
        <f t="shared" si="8"/>
        <v>0</v>
      </c>
      <c r="I24" s="478">
        <f t="shared" si="9"/>
        <v>0</v>
      </c>
      <c r="J24" s="478">
        <f t="shared" si="10"/>
        <v>649.21635860866206</v>
      </c>
      <c r="K24" s="478">
        <f t="shared" si="11"/>
        <v>0</v>
      </c>
      <c r="L24" s="478">
        <f t="shared" si="12"/>
        <v>0</v>
      </c>
      <c r="M24" s="478">
        <f t="shared" si="13"/>
        <v>0</v>
      </c>
      <c r="N24" s="478">
        <f t="shared" si="14"/>
        <v>0</v>
      </c>
      <c r="O24" s="478">
        <f t="shared" si="15"/>
        <v>0</v>
      </c>
      <c r="P24" s="479">
        <f t="shared" si="16"/>
        <v>0</v>
      </c>
      <c r="Q24" s="477">
        <f t="shared" ca="1" si="17"/>
        <v>21855.656362489779</v>
      </c>
    </row>
    <row r="25" spans="1:17">
      <c r="A25" s="477" t="s">
        <v>635</v>
      </c>
      <c r="B25" s="478">
        <f t="shared" ca="1" si="2"/>
        <v>3946.7683350918464</v>
      </c>
      <c r="C25" s="478">
        <f t="shared" ca="1" si="3"/>
        <v>0</v>
      </c>
      <c r="D25" s="478">
        <f t="shared" si="4"/>
        <v>3870.0412063908507</v>
      </c>
      <c r="E25" s="478">
        <f t="shared" si="5"/>
        <v>146.11568648379284</v>
      </c>
      <c r="F25" s="478">
        <f t="shared" si="6"/>
        <v>572.29051826456293</v>
      </c>
      <c r="G25" s="478">
        <f t="shared" si="7"/>
        <v>0</v>
      </c>
      <c r="H25" s="478">
        <f t="shared" si="8"/>
        <v>0</v>
      </c>
      <c r="I25" s="478">
        <f t="shared" si="9"/>
        <v>0</v>
      </c>
      <c r="J25" s="478">
        <f t="shared" si="10"/>
        <v>0.87974499959502073</v>
      </c>
      <c r="K25" s="478">
        <f t="shared" si="11"/>
        <v>0</v>
      </c>
      <c r="L25" s="478">
        <f t="shared" si="12"/>
        <v>0</v>
      </c>
      <c r="M25" s="478">
        <f t="shared" si="13"/>
        <v>0</v>
      </c>
      <c r="N25" s="478">
        <f t="shared" si="14"/>
        <v>0</v>
      </c>
      <c r="O25" s="478">
        <f t="shared" si="15"/>
        <v>0</v>
      </c>
      <c r="P25" s="479">
        <f t="shared" si="16"/>
        <v>0</v>
      </c>
      <c r="Q25" s="477">
        <f t="shared" ca="1" si="17"/>
        <v>8536.0954912306479</v>
      </c>
    </row>
    <row r="26" spans="1:17" s="483" customFormat="1">
      <c r="A26" s="481" t="s">
        <v>561</v>
      </c>
      <c r="B26" s="835">
        <f t="shared" ca="1" si="2"/>
        <v>22.141017321517037</v>
      </c>
      <c r="C26" s="482">
        <f t="shared" ca="1" si="3"/>
        <v>0</v>
      </c>
      <c r="D26" s="482">
        <f t="shared" si="4"/>
        <v>71.522458346053867</v>
      </c>
      <c r="E26" s="482">
        <f t="shared" si="5"/>
        <v>124.86501157983469</v>
      </c>
      <c r="F26" s="482">
        <f t="shared" si="6"/>
        <v>0</v>
      </c>
      <c r="G26" s="482">
        <f t="shared" si="7"/>
        <v>56488.945751186897</v>
      </c>
      <c r="H26" s="482">
        <f t="shared" si="8"/>
        <v>10241.486390499967</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66948.960628934277</v>
      </c>
    </row>
    <row r="27" spans="1:17">
      <c r="A27" s="477" t="s">
        <v>551</v>
      </c>
      <c r="B27" s="478">
        <f t="shared" ca="1" si="2"/>
        <v>0</v>
      </c>
      <c r="C27" s="478">
        <f t="shared" ca="1" si="3"/>
        <v>0</v>
      </c>
      <c r="D27" s="478">
        <f t="shared" si="4"/>
        <v>0</v>
      </c>
      <c r="E27" s="478">
        <f t="shared" si="5"/>
        <v>0</v>
      </c>
      <c r="F27" s="478">
        <f t="shared" si="6"/>
        <v>0</v>
      </c>
      <c r="G27" s="478">
        <f t="shared" si="7"/>
        <v>354.47178975499935</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354.47178975499935</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15114.313417471163</v>
      </c>
      <c r="C31" s="488">
        <f t="shared" ca="1" si="18"/>
        <v>3063.8647058823535</v>
      </c>
      <c r="D31" s="488">
        <f t="shared" ca="1" si="18"/>
        <v>19790.442761204675</v>
      </c>
      <c r="E31" s="488">
        <f t="shared" si="18"/>
        <v>1298.8054766967284</v>
      </c>
      <c r="F31" s="488">
        <f t="shared" ca="1" si="18"/>
        <v>19423.717698451739</v>
      </c>
      <c r="G31" s="488">
        <f t="shared" si="18"/>
        <v>56843.417540941897</v>
      </c>
      <c r="H31" s="488">
        <f t="shared" si="18"/>
        <v>10241.486390499967</v>
      </c>
      <c r="I31" s="488">
        <f t="shared" si="18"/>
        <v>0</v>
      </c>
      <c r="J31" s="488">
        <f t="shared" si="18"/>
        <v>650.10501932007764</v>
      </c>
      <c r="K31" s="488">
        <f t="shared" si="18"/>
        <v>0</v>
      </c>
      <c r="L31" s="488">
        <f t="shared" ca="1" si="18"/>
        <v>0</v>
      </c>
      <c r="M31" s="488">
        <f t="shared" si="18"/>
        <v>0</v>
      </c>
      <c r="N31" s="488">
        <f t="shared" ca="1" si="18"/>
        <v>0</v>
      </c>
      <c r="O31" s="488">
        <f t="shared" si="18"/>
        <v>0</v>
      </c>
      <c r="P31" s="489">
        <f t="shared" si="18"/>
        <v>0</v>
      </c>
      <c r="Q31" s="489">
        <f t="shared" ca="1" si="18"/>
        <v>126426.15301046861</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0.2072887912564377</v>
      </c>
      <c r="C17" s="528">
        <f ca="1">'EF ele_warmte'!B22</f>
        <v>0.23650316418746939</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0.2072887912564377</v>
      </c>
      <c r="C17" s="528">
        <f ca="1">'EF ele_warmte'!B22</f>
        <v>0.23650316418746939</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0.2072887912564377</v>
      </c>
      <c r="C29" s="529">
        <f ca="1">'EF ele_warmte'!B22</f>
        <v>0.23650316418746939</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31012</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5635</v>
      </c>
      <c r="C9" s="342">
        <v>5659</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3337.7</v>
      </c>
    </row>
    <row r="15" spans="1:6">
      <c r="A15" s="348" t="s">
        <v>184</v>
      </c>
      <c r="B15" s="334">
        <v>43</v>
      </c>
    </row>
    <row r="16" spans="1:6">
      <c r="A16" s="348" t="s">
        <v>6</v>
      </c>
      <c r="B16" s="334">
        <v>1638</v>
      </c>
    </row>
    <row r="17" spans="1:6">
      <c r="A17" s="348" t="s">
        <v>7</v>
      </c>
      <c r="B17" s="334">
        <v>1856</v>
      </c>
    </row>
    <row r="18" spans="1:6">
      <c r="A18" s="348" t="s">
        <v>8</v>
      </c>
      <c r="B18" s="334">
        <v>2633</v>
      </c>
    </row>
    <row r="19" spans="1:6">
      <c r="A19" s="348" t="s">
        <v>9</v>
      </c>
      <c r="B19" s="334">
        <v>2273</v>
      </c>
    </row>
    <row r="20" spans="1:6">
      <c r="A20" s="348" t="s">
        <v>10</v>
      </c>
      <c r="B20" s="334">
        <v>1385</v>
      </c>
    </row>
    <row r="21" spans="1:6">
      <c r="A21" s="348" t="s">
        <v>11</v>
      </c>
      <c r="B21" s="334">
        <v>10575</v>
      </c>
    </row>
    <row r="22" spans="1:6">
      <c r="A22" s="348" t="s">
        <v>12</v>
      </c>
      <c r="B22" s="334">
        <v>13480</v>
      </c>
    </row>
    <row r="23" spans="1:6">
      <c r="A23" s="348" t="s">
        <v>13</v>
      </c>
      <c r="B23" s="334">
        <v>639</v>
      </c>
    </row>
    <row r="24" spans="1:6">
      <c r="A24" s="348" t="s">
        <v>14</v>
      </c>
      <c r="B24" s="334">
        <v>13</v>
      </c>
    </row>
    <row r="25" spans="1:6">
      <c r="A25" s="348" t="s">
        <v>15</v>
      </c>
      <c r="B25" s="334">
        <v>2256</v>
      </c>
    </row>
    <row r="26" spans="1:6">
      <c r="A26" s="348" t="s">
        <v>16</v>
      </c>
      <c r="B26" s="334">
        <v>404</v>
      </c>
    </row>
    <row r="27" spans="1:6">
      <c r="A27" s="348" t="s">
        <v>17</v>
      </c>
      <c r="B27" s="334">
        <v>0</v>
      </c>
    </row>
    <row r="28" spans="1:6" s="356" customFormat="1">
      <c r="A28" s="355" t="s">
        <v>18</v>
      </c>
      <c r="B28" s="355">
        <v>12109</v>
      </c>
    </row>
    <row r="29" spans="1:6">
      <c r="A29" s="355" t="s">
        <v>744</v>
      </c>
      <c r="B29" s="355">
        <v>155</v>
      </c>
      <c r="C29" s="356"/>
      <c r="D29" s="356"/>
      <c r="E29" s="356"/>
      <c r="F29" s="356"/>
    </row>
    <row r="30" spans="1:6">
      <c r="A30" s="341" t="s">
        <v>745</v>
      </c>
      <c r="B30" s="341">
        <v>35</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15075.3815287616</v>
      </c>
      <c r="E38" s="334">
        <v>0</v>
      </c>
      <c r="F38" s="334">
        <v>0</v>
      </c>
    </row>
    <row r="39" spans="1:6">
      <c r="A39" s="348" t="s">
        <v>30</v>
      </c>
      <c r="B39" s="348" t="s">
        <v>31</v>
      </c>
      <c r="C39" s="334">
        <v>3574</v>
      </c>
      <c r="D39" s="334">
        <v>61790123.359597899</v>
      </c>
      <c r="E39" s="334">
        <v>5311</v>
      </c>
      <c r="F39" s="334">
        <v>21936961.326897737</v>
      </c>
    </row>
    <row r="40" spans="1:6">
      <c r="A40" s="348" t="s">
        <v>30</v>
      </c>
      <c r="B40" s="348" t="s">
        <v>29</v>
      </c>
      <c r="C40" s="334">
        <v>2</v>
      </c>
      <c r="D40" s="334">
        <v>68438.520525734799</v>
      </c>
      <c r="E40" s="334">
        <v>0</v>
      </c>
      <c r="F40" s="334">
        <v>0</v>
      </c>
    </row>
    <row r="41" spans="1:6">
      <c r="A41" s="348" t="s">
        <v>32</v>
      </c>
      <c r="B41" s="348" t="s">
        <v>33</v>
      </c>
      <c r="C41" s="334">
        <v>44</v>
      </c>
      <c r="D41" s="334">
        <v>1227621.5481243399</v>
      </c>
      <c r="E41" s="334">
        <v>133</v>
      </c>
      <c r="F41" s="334">
        <v>2112835.5499999998</v>
      </c>
    </row>
    <row r="42" spans="1:6">
      <c r="A42" s="348" t="s">
        <v>32</v>
      </c>
      <c r="B42" s="348" t="s">
        <v>34</v>
      </c>
      <c r="C42" s="334">
        <v>0</v>
      </c>
      <c r="D42" s="334">
        <v>0</v>
      </c>
      <c r="E42" s="334">
        <v>3</v>
      </c>
      <c r="F42" s="334">
        <v>148595</v>
      </c>
    </row>
    <row r="43" spans="1:6">
      <c r="A43" s="348" t="s">
        <v>32</v>
      </c>
      <c r="B43" s="348" t="s">
        <v>35</v>
      </c>
      <c r="C43" s="334">
        <v>0</v>
      </c>
      <c r="D43" s="334">
        <v>0</v>
      </c>
      <c r="E43" s="334">
        <v>0</v>
      </c>
      <c r="F43" s="334">
        <v>0</v>
      </c>
    </row>
    <row r="44" spans="1:6">
      <c r="A44" s="348" t="s">
        <v>32</v>
      </c>
      <c r="B44" s="348" t="s">
        <v>36</v>
      </c>
      <c r="C44" s="334">
        <v>0</v>
      </c>
      <c r="D44" s="334">
        <v>0</v>
      </c>
      <c r="E44" s="334">
        <v>10</v>
      </c>
      <c r="F44" s="334">
        <v>194594</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4</v>
      </c>
      <c r="D47" s="334">
        <v>17942411.215977602</v>
      </c>
      <c r="E47" s="334">
        <v>4</v>
      </c>
      <c r="F47" s="334">
        <v>16068571</v>
      </c>
    </row>
    <row r="48" spans="1:6">
      <c r="A48" s="348" t="s">
        <v>32</v>
      </c>
      <c r="B48" s="348" t="s">
        <v>29</v>
      </c>
      <c r="C48" s="334">
        <v>32</v>
      </c>
      <c r="D48" s="334">
        <v>1550615.5479323701</v>
      </c>
      <c r="E48" s="334">
        <v>0</v>
      </c>
      <c r="F48" s="334">
        <v>0</v>
      </c>
    </row>
    <row r="49" spans="1:6">
      <c r="A49" s="348" t="s">
        <v>32</v>
      </c>
      <c r="B49" s="348" t="s">
        <v>40</v>
      </c>
      <c r="C49" s="334">
        <v>0</v>
      </c>
      <c r="D49" s="334">
        <v>0</v>
      </c>
      <c r="E49" s="334">
        <v>4</v>
      </c>
      <c r="F49" s="334">
        <v>18380</v>
      </c>
    </row>
    <row r="50" spans="1:6">
      <c r="A50" s="348" t="s">
        <v>32</v>
      </c>
      <c r="B50" s="348" t="s">
        <v>41</v>
      </c>
      <c r="C50" s="334">
        <v>10</v>
      </c>
      <c r="D50" s="334">
        <v>519506.714149801</v>
      </c>
      <c r="E50" s="334">
        <v>13</v>
      </c>
      <c r="F50" s="334">
        <v>496975</v>
      </c>
    </row>
    <row r="51" spans="1:6">
      <c r="A51" s="348" t="s">
        <v>42</v>
      </c>
      <c r="B51" s="348" t="s">
        <v>43</v>
      </c>
      <c r="C51" s="334">
        <v>22</v>
      </c>
      <c r="D51" s="334">
        <v>34125555.408162601</v>
      </c>
      <c r="E51" s="334">
        <v>146</v>
      </c>
      <c r="F51" s="334">
        <v>12658498</v>
      </c>
    </row>
    <row r="52" spans="1:6">
      <c r="A52" s="348" t="s">
        <v>42</v>
      </c>
      <c r="B52" s="348" t="s">
        <v>29</v>
      </c>
      <c r="C52" s="334">
        <v>7</v>
      </c>
      <c r="D52" s="334">
        <v>122596.165897746</v>
      </c>
      <c r="E52" s="334">
        <v>0</v>
      </c>
      <c r="F52" s="334">
        <v>0</v>
      </c>
    </row>
    <row r="53" spans="1:6">
      <c r="A53" s="348" t="s">
        <v>44</v>
      </c>
      <c r="B53" s="348" t="s">
        <v>45</v>
      </c>
      <c r="C53" s="334">
        <v>97</v>
      </c>
      <c r="D53" s="334">
        <v>1737089.34600521</v>
      </c>
      <c r="E53" s="334">
        <v>0</v>
      </c>
      <c r="F53" s="334">
        <v>0</v>
      </c>
    </row>
    <row r="54" spans="1:6">
      <c r="A54" s="348" t="s">
        <v>46</v>
      </c>
      <c r="B54" s="348" t="s">
        <v>47</v>
      </c>
      <c r="C54" s="334">
        <v>0</v>
      </c>
      <c r="D54" s="334">
        <v>0</v>
      </c>
      <c r="E54" s="334">
        <v>1</v>
      </c>
      <c r="F54" s="334">
        <v>1047073</v>
      </c>
    </row>
    <row r="55" spans="1:6">
      <c r="A55" s="348" t="s">
        <v>46</v>
      </c>
      <c r="B55" s="348" t="s">
        <v>29</v>
      </c>
      <c r="C55" s="334">
        <v>0</v>
      </c>
      <c r="D55" s="334">
        <v>0</v>
      </c>
      <c r="E55" s="334">
        <v>0</v>
      </c>
      <c r="F55" s="334">
        <v>0</v>
      </c>
    </row>
    <row r="56" spans="1:6">
      <c r="A56" s="348" t="s">
        <v>48</v>
      </c>
      <c r="B56" s="348" t="s">
        <v>29</v>
      </c>
      <c r="C56" s="334">
        <v>1</v>
      </c>
      <c r="D56" s="334">
        <v>14178</v>
      </c>
      <c r="E56" s="334">
        <v>14</v>
      </c>
      <c r="F56" s="334">
        <v>806490</v>
      </c>
    </row>
    <row r="57" spans="1:6">
      <c r="A57" s="348" t="s">
        <v>49</v>
      </c>
      <c r="B57" s="348" t="s">
        <v>50</v>
      </c>
      <c r="C57" s="334">
        <v>55</v>
      </c>
      <c r="D57" s="334">
        <v>3689210.90999131</v>
      </c>
      <c r="E57" s="334">
        <v>66</v>
      </c>
      <c r="F57" s="334">
        <v>1160302.8500000001</v>
      </c>
    </row>
    <row r="58" spans="1:6">
      <c r="A58" s="348" t="s">
        <v>49</v>
      </c>
      <c r="B58" s="348" t="s">
        <v>51</v>
      </c>
      <c r="C58" s="334">
        <v>44</v>
      </c>
      <c r="D58" s="334">
        <v>1129738.0956107299</v>
      </c>
      <c r="E58" s="334">
        <v>65</v>
      </c>
      <c r="F58" s="334">
        <v>1431484</v>
      </c>
    </row>
    <row r="59" spans="1:6">
      <c r="A59" s="348" t="s">
        <v>49</v>
      </c>
      <c r="B59" s="348" t="s">
        <v>52</v>
      </c>
      <c r="C59" s="334">
        <v>59</v>
      </c>
      <c r="D59" s="334">
        <v>2112752.7632277198</v>
      </c>
      <c r="E59" s="334">
        <v>177</v>
      </c>
      <c r="F59" s="334">
        <v>4862608.55</v>
      </c>
    </row>
    <row r="60" spans="1:6">
      <c r="A60" s="348" t="s">
        <v>49</v>
      </c>
      <c r="B60" s="348" t="s">
        <v>53</v>
      </c>
      <c r="C60" s="334">
        <v>46</v>
      </c>
      <c r="D60" s="334">
        <v>2075072.69039406</v>
      </c>
      <c r="E60" s="334">
        <v>58</v>
      </c>
      <c r="F60" s="334">
        <v>1925238</v>
      </c>
    </row>
    <row r="61" spans="1:6">
      <c r="A61" s="348" t="s">
        <v>49</v>
      </c>
      <c r="B61" s="348" t="s">
        <v>54</v>
      </c>
      <c r="C61" s="334">
        <v>120</v>
      </c>
      <c r="D61" s="334">
        <v>4067891.2476374898</v>
      </c>
      <c r="E61" s="334">
        <v>309</v>
      </c>
      <c r="F61" s="334">
        <v>5178205</v>
      </c>
    </row>
    <row r="62" spans="1:6">
      <c r="A62" s="348" t="s">
        <v>49</v>
      </c>
      <c r="B62" s="348" t="s">
        <v>55</v>
      </c>
      <c r="C62" s="334">
        <v>10</v>
      </c>
      <c r="D62" s="334">
        <v>1126029.9729687099</v>
      </c>
      <c r="E62" s="334">
        <v>12</v>
      </c>
      <c r="F62" s="334">
        <v>85509</v>
      </c>
    </row>
    <row r="63" spans="1:6">
      <c r="A63" s="348" t="s">
        <v>49</v>
      </c>
      <c r="B63" s="348" t="s">
        <v>29</v>
      </c>
      <c r="C63" s="334">
        <v>83</v>
      </c>
      <c r="D63" s="334">
        <v>3526230.4637348698</v>
      </c>
      <c r="E63" s="334">
        <v>0</v>
      </c>
      <c r="F63" s="334">
        <v>0</v>
      </c>
    </row>
    <row r="64" spans="1:6">
      <c r="A64" s="348" t="s">
        <v>56</v>
      </c>
      <c r="B64" s="348" t="s">
        <v>57</v>
      </c>
      <c r="C64" s="334">
        <v>0</v>
      </c>
      <c r="D64" s="334">
        <v>0</v>
      </c>
      <c r="E64" s="334">
        <v>0</v>
      </c>
      <c r="F64" s="334">
        <v>0</v>
      </c>
    </row>
    <row r="65" spans="1:6">
      <c r="A65" s="348" t="s">
        <v>56</v>
      </c>
      <c r="B65" s="348" t="s">
        <v>29</v>
      </c>
      <c r="C65" s="334">
        <v>2</v>
      </c>
      <c r="D65" s="334">
        <v>48505.811103709799</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6</v>
      </c>
      <c r="D68" s="334">
        <v>155335.96293772699</v>
      </c>
      <c r="E68" s="334">
        <v>8</v>
      </c>
      <c r="F68" s="334">
        <v>143493.4</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71212328</v>
      </c>
      <c r="E73" s="476">
        <v>69844111.98476781</v>
      </c>
    </row>
    <row r="74" spans="1:6">
      <c r="A74" s="348" t="s">
        <v>64</v>
      </c>
      <c r="B74" s="348" t="s">
        <v>657</v>
      </c>
      <c r="C74" s="1213" t="s">
        <v>659</v>
      </c>
      <c r="D74" s="476">
        <v>3673987.8392698457</v>
      </c>
      <c r="E74" s="476">
        <v>3513595.2774128243</v>
      </c>
    </row>
    <row r="75" spans="1:6">
      <c r="A75" s="348" t="s">
        <v>65</v>
      </c>
      <c r="B75" s="348" t="s">
        <v>656</v>
      </c>
      <c r="C75" s="1213" t="s">
        <v>660</v>
      </c>
      <c r="D75" s="476">
        <v>26413404</v>
      </c>
      <c r="E75" s="476">
        <v>25195887.818654768</v>
      </c>
    </row>
    <row r="76" spans="1:6">
      <c r="A76" s="348" t="s">
        <v>65</v>
      </c>
      <c r="B76" s="348" t="s">
        <v>657</v>
      </c>
      <c r="C76" s="1213" t="s">
        <v>661</v>
      </c>
      <c r="D76" s="476">
        <v>918160.83926984586</v>
      </c>
      <c r="E76" s="476">
        <v>859959.29962743598</v>
      </c>
    </row>
    <row r="77" spans="1:6">
      <c r="A77" s="348" t="s">
        <v>66</v>
      </c>
      <c r="B77" s="348" t="s">
        <v>656</v>
      </c>
      <c r="C77" s="1213" t="s">
        <v>662</v>
      </c>
      <c r="D77" s="476">
        <v>173882961</v>
      </c>
      <c r="E77" s="476">
        <v>180662212.14021271</v>
      </c>
    </row>
    <row r="78" spans="1:6">
      <c r="A78" s="341" t="s">
        <v>66</v>
      </c>
      <c r="B78" s="341" t="s">
        <v>657</v>
      </c>
      <c r="C78" s="341" t="s">
        <v>663</v>
      </c>
      <c r="D78" s="1214">
        <v>27444343</v>
      </c>
      <c r="E78" s="1214">
        <v>28718792.437466864</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380520.32146030827</v>
      </c>
      <c r="C83" s="476">
        <v>380201.85197901743</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0</v>
      </c>
    </row>
    <row r="91" spans="1:6">
      <c r="A91" s="348" t="s">
        <v>68</v>
      </c>
      <c r="B91" s="334">
        <v>3456.8894790480376</v>
      </c>
    </row>
    <row r="92" spans="1:6">
      <c r="A92" s="341" t="s">
        <v>69</v>
      </c>
      <c r="B92" s="342">
        <v>1702.9830884255953</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2245</v>
      </c>
    </row>
    <row r="98" spans="1:6">
      <c r="A98" s="348" t="s">
        <v>72</v>
      </c>
      <c r="B98" s="334">
        <v>1</v>
      </c>
    </row>
    <row r="99" spans="1:6">
      <c r="A99" s="348" t="s">
        <v>73</v>
      </c>
      <c r="B99" s="334">
        <v>93</v>
      </c>
    </row>
    <row r="100" spans="1:6">
      <c r="A100" s="348" t="s">
        <v>74</v>
      </c>
      <c r="B100" s="334">
        <v>500</v>
      </c>
    </row>
    <row r="101" spans="1:6">
      <c r="A101" s="348" t="s">
        <v>75</v>
      </c>
      <c r="B101" s="334">
        <v>118</v>
      </c>
    </row>
    <row r="102" spans="1:6">
      <c r="A102" s="348" t="s">
        <v>76</v>
      </c>
      <c r="B102" s="334">
        <v>82</v>
      </c>
    </row>
    <row r="103" spans="1:6">
      <c r="A103" s="348" t="s">
        <v>77</v>
      </c>
      <c r="B103" s="334">
        <v>110</v>
      </c>
    </row>
    <row r="104" spans="1:6">
      <c r="A104" s="348" t="s">
        <v>78</v>
      </c>
      <c r="B104" s="334">
        <v>1792</v>
      </c>
    </row>
    <row r="105" spans="1:6">
      <c r="A105" s="341" t="s">
        <v>79</v>
      </c>
      <c r="B105" s="341">
        <v>13</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16</v>
      </c>
      <c r="C123" s="334">
        <v>57</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148</v>
      </c>
    </row>
    <row r="130" spans="1:6">
      <c r="A130" s="348" t="s">
        <v>295</v>
      </c>
      <c r="B130" s="334">
        <v>0</v>
      </c>
    </row>
    <row r="131" spans="1:6">
      <c r="A131" s="348" t="s">
        <v>296</v>
      </c>
      <c r="B131" s="334">
        <v>3</v>
      </c>
    </row>
    <row r="132" spans="1:6">
      <c r="A132" s="341" t="s">
        <v>297</v>
      </c>
      <c r="B132" s="342">
        <v>23</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72914.282175408094</v>
      </c>
      <c r="C3" s="43" t="s">
        <v>170</v>
      </c>
      <c r="D3" s="43"/>
      <c r="E3" s="154"/>
      <c r="F3" s="43"/>
      <c r="G3" s="43"/>
      <c r="H3" s="43"/>
      <c r="I3" s="43"/>
      <c r="J3" s="43"/>
      <c r="K3" s="96"/>
    </row>
    <row r="4" spans="1:11">
      <c r="A4" s="383" t="s">
        <v>171</v>
      </c>
      <c r="B4" s="49">
        <f>IF(ISERROR('SEAP template'!B69),0,'SEAP template'!B69)</f>
        <v>14228.272567473632</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2144.7052941176476</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0.2072887912564377</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3063.8647058823535</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12954.857142857143</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0.23650316418746939</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1047.0730000000001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1047.0730000000001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0.2072887912564377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217.046496527252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21936.961326897737</v>
      </c>
      <c r="C5" s="17">
        <f>IF(ISERROR('Eigen informatie GS &amp; warmtenet'!B57),0,'Eigen informatie GS &amp; warmtenet'!B57)</f>
        <v>0</v>
      </c>
      <c r="D5" s="30">
        <f>(SUM(HH_hh_gas_kWh,HH_rest_gas_kWh)/1000)*0.902</f>
        <v>55796.422815871512</v>
      </c>
      <c r="E5" s="17">
        <f>B46*B57</f>
        <v>3949.0599283301444</v>
      </c>
      <c r="F5" s="17">
        <f>B51*B62</f>
        <v>15380.231093711431</v>
      </c>
      <c r="G5" s="18"/>
      <c r="H5" s="17"/>
      <c r="I5" s="17"/>
      <c r="J5" s="17">
        <f>B50*B61+C50*C61</f>
        <v>0</v>
      </c>
      <c r="K5" s="17"/>
      <c r="L5" s="17"/>
      <c r="M5" s="17"/>
      <c r="N5" s="17">
        <f>B48*B59+C48*C59</f>
        <v>17075.972675781832</v>
      </c>
      <c r="O5" s="17">
        <f>B69*B70*B71</f>
        <v>320.48333333333335</v>
      </c>
      <c r="P5" s="17">
        <f>B77*B78*B79/1000-B77*B78*B79/1000/B80</f>
        <v>743.6</v>
      </c>
    </row>
    <row r="6" spans="1:16">
      <c r="A6" s="16" t="s">
        <v>621</v>
      </c>
      <c r="B6" s="843">
        <f>kWh_PV_kleiner_dan_10kW</f>
        <v>3456.8894790480376</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25393.850805945774</v>
      </c>
      <c r="C8" s="21">
        <f>C5</f>
        <v>0</v>
      </c>
      <c r="D8" s="21">
        <f>D5</f>
        <v>55796.422815871512</v>
      </c>
      <c r="E8" s="21">
        <f>E5</f>
        <v>3949.0599283301444</v>
      </c>
      <c r="F8" s="21">
        <f>F5</f>
        <v>15380.231093711431</v>
      </c>
      <c r="G8" s="21"/>
      <c r="H8" s="21"/>
      <c r="I8" s="21"/>
      <c r="J8" s="21">
        <f>J5</f>
        <v>0</v>
      </c>
      <c r="K8" s="21"/>
      <c r="L8" s="21">
        <f>L5</f>
        <v>0</v>
      </c>
      <c r="M8" s="21">
        <f>M5</f>
        <v>0</v>
      </c>
      <c r="N8" s="21">
        <f>N5</f>
        <v>17075.972675781832</v>
      </c>
      <c r="O8" s="21">
        <f>O5</f>
        <v>320.48333333333335</v>
      </c>
      <c r="P8" s="21">
        <f>P5</f>
        <v>743.6</v>
      </c>
    </row>
    <row r="9" spans="1:16">
      <c r="B9" s="19"/>
      <c r="C9" s="19"/>
      <c r="D9" s="258"/>
      <c r="E9" s="19"/>
      <c r="F9" s="19"/>
      <c r="G9" s="19"/>
      <c r="H9" s="19"/>
      <c r="I9" s="19"/>
      <c r="J9" s="19"/>
      <c r="K9" s="19"/>
      <c r="L9" s="19"/>
      <c r="M9" s="19"/>
      <c r="N9" s="19"/>
      <c r="O9" s="19"/>
      <c r="P9" s="19"/>
    </row>
    <row r="10" spans="1:16">
      <c r="A10" s="24" t="s">
        <v>214</v>
      </c>
      <c r="B10" s="25">
        <f ca="1">'EF ele_warmte'!B12</f>
        <v>0.2072887912564377</v>
      </c>
      <c r="C10" s="25">
        <f ca="1">'EF ele_warmte'!B22</f>
        <v>0.23650316418746939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5263.8606389108163</v>
      </c>
      <c r="C12" s="23">
        <f ca="1">C10*C8</f>
        <v>0</v>
      </c>
      <c r="D12" s="23">
        <f>D8*D10</f>
        <v>11270.877408806045</v>
      </c>
      <c r="E12" s="23">
        <f>E10*E8</f>
        <v>896.43660373094281</v>
      </c>
      <c r="F12" s="23">
        <f>F10*F8</f>
        <v>4106.521702020952</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2245</v>
      </c>
      <c r="C18" s="166" t="s">
        <v>111</v>
      </c>
      <c r="D18" s="228"/>
      <c r="E18" s="15"/>
    </row>
    <row r="19" spans="1:7">
      <c r="A19" s="171" t="s">
        <v>72</v>
      </c>
      <c r="B19" s="37">
        <f>aantalw2001_ander</f>
        <v>1</v>
      </c>
      <c r="C19" s="166" t="s">
        <v>111</v>
      </c>
      <c r="D19" s="229"/>
      <c r="E19" s="15"/>
    </row>
    <row r="20" spans="1:7">
      <c r="A20" s="171" t="s">
        <v>73</v>
      </c>
      <c r="B20" s="37">
        <f>aantalw2001_propaan</f>
        <v>93</v>
      </c>
      <c r="C20" s="167">
        <f>IF(ISERROR(B20/SUM($B$20,$B$21,$B$22)*100),0,B20/SUM($B$20,$B$21,$B$22)*100)</f>
        <v>13.080168776371309</v>
      </c>
      <c r="D20" s="229"/>
      <c r="E20" s="15"/>
    </row>
    <row r="21" spans="1:7">
      <c r="A21" s="171" t="s">
        <v>74</v>
      </c>
      <c r="B21" s="37">
        <f>aantalw2001_elektriciteit</f>
        <v>500</v>
      </c>
      <c r="C21" s="167">
        <f>IF(ISERROR(B21/SUM($B$20,$B$21,$B$22)*100),0,B21/SUM($B$20,$B$21,$B$22)*100)</f>
        <v>70.323488045007025</v>
      </c>
      <c r="D21" s="229"/>
      <c r="E21" s="15"/>
    </row>
    <row r="22" spans="1:7">
      <c r="A22" s="171" t="s">
        <v>75</v>
      </c>
      <c r="B22" s="37">
        <f>aantalw2001_hout</f>
        <v>118</v>
      </c>
      <c r="C22" s="167">
        <f>IF(ISERROR(B22/SUM($B$20,$B$21,$B$22)*100),0,B22/SUM($B$20,$B$21,$B$22)*100)</f>
        <v>16.596343178621659</v>
      </c>
      <c r="D22" s="229"/>
      <c r="E22" s="15"/>
    </row>
    <row r="23" spans="1:7">
      <c r="A23" s="171" t="s">
        <v>76</v>
      </c>
      <c r="B23" s="37">
        <f>aantalw2001_niet_gespec</f>
        <v>82</v>
      </c>
      <c r="C23" s="166" t="s">
        <v>111</v>
      </c>
      <c r="D23" s="228"/>
      <c r="E23" s="15"/>
    </row>
    <row r="24" spans="1:7">
      <c r="A24" s="171" t="s">
        <v>77</v>
      </c>
      <c r="B24" s="37">
        <f>aantalw2001_steenkool</f>
        <v>110</v>
      </c>
      <c r="C24" s="166" t="s">
        <v>111</v>
      </c>
      <c r="D24" s="229"/>
      <c r="E24" s="15"/>
    </row>
    <row r="25" spans="1:7">
      <c r="A25" s="171" t="s">
        <v>78</v>
      </c>
      <c r="B25" s="37">
        <f>aantalw2001_stookolie</f>
        <v>1792</v>
      </c>
      <c r="C25" s="166" t="s">
        <v>111</v>
      </c>
      <c r="D25" s="228"/>
      <c r="E25" s="52"/>
    </row>
    <row r="26" spans="1:7">
      <c r="A26" s="171" t="s">
        <v>79</v>
      </c>
      <c r="B26" s="37">
        <f>aantalw2001_WP</f>
        <v>13</v>
      </c>
      <c r="C26" s="166" t="s">
        <v>111</v>
      </c>
      <c r="D26" s="228"/>
      <c r="E26" s="15"/>
    </row>
    <row r="27" spans="1:7" s="15" customFormat="1">
      <c r="A27" s="171"/>
      <c r="B27" s="29"/>
      <c r="C27" s="36"/>
      <c r="D27" s="228"/>
    </row>
    <row r="28" spans="1:7" s="15" customFormat="1">
      <c r="A28" s="230" t="s">
        <v>794</v>
      </c>
      <c r="B28" s="37">
        <f>aantalHuishoudens2011</f>
        <v>5635</v>
      </c>
      <c r="C28" s="36"/>
      <c r="D28" s="228"/>
    </row>
    <row r="29" spans="1:7" s="15" customFormat="1">
      <c r="A29" s="230" t="s">
        <v>795</v>
      </c>
      <c r="B29" s="37">
        <f>SUM(HH_hh_gas_aantal,HH_rest_gas_aantal)</f>
        <v>3576</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3576</v>
      </c>
      <c r="C32" s="167">
        <f>IF(ISERROR(B32/SUM($B$32,$B$34,$B$35,$B$36,$B$38,$B$39)*100),0,B32/SUM($B$32,$B$34,$B$35,$B$36,$B$38,$B$39)*100)</f>
        <v>63.902787705503926</v>
      </c>
      <c r="D32" s="233"/>
      <c r="G32" s="15"/>
    </row>
    <row r="33" spans="1:7">
      <c r="A33" s="171" t="s">
        <v>72</v>
      </c>
      <c r="B33" s="34" t="s">
        <v>111</v>
      </c>
      <c r="C33" s="167"/>
      <c r="D33" s="233"/>
      <c r="G33" s="15"/>
    </row>
    <row r="34" spans="1:7">
      <c r="A34" s="171" t="s">
        <v>73</v>
      </c>
      <c r="B34" s="33">
        <f>IF((($B$28-$B$32-$B$39-$B$77-$B$38)*C20/100)&lt;0,0,($B$28-$B$32-$B$39-$B$77-$B$38)*C20/100)</f>
        <v>186.5101265822785</v>
      </c>
      <c r="C34" s="167">
        <f>IF(ISERROR(B34/SUM($B$32,$B$34,$B$35,$B$36,$B$38,$B$39)*100),0,B34/SUM($B$32,$B$34,$B$35,$B$36,$B$38,$B$39)*100)</f>
        <v>3.3329186308484369</v>
      </c>
      <c r="D34" s="233"/>
      <c r="G34" s="15"/>
    </row>
    <row r="35" spans="1:7">
      <c r="A35" s="171" t="s">
        <v>74</v>
      </c>
      <c r="B35" s="33">
        <f>IF((($B$28-$B$32-$B$39-$B$77-$B$38)*C21/100)&lt;0,0,($B$28-$B$32-$B$39-$B$77-$B$38)*C21/100)</f>
        <v>1002.7426160337552</v>
      </c>
      <c r="C35" s="167">
        <f>IF(ISERROR(B35/SUM($B$32,$B$34,$B$35,$B$36,$B$38,$B$39)*100),0,B35/SUM($B$32,$B$34,$B$35,$B$36,$B$38,$B$39)*100)</f>
        <v>17.918917370152883</v>
      </c>
      <c r="D35" s="233"/>
      <c r="G35" s="15"/>
    </row>
    <row r="36" spans="1:7">
      <c r="A36" s="171" t="s">
        <v>75</v>
      </c>
      <c r="B36" s="33">
        <f>IF((($B$28-$B$32-$B$39-$B$77-$B$38)*C22/100)&lt;0,0,($B$28-$B$32-$B$39-$B$77-$B$38)*C22/100)</f>
        <v>236.64725738396623</v>
      </c>
      <c r="C36" s="167">
        <f>IF(ISERROR(B36/SUM($B$32,$B$34,$B$35,$B$36,$B$38,$B$39)*100),0,B36/SUM($B$32,$B$34,$B$35,$B$36,$B$38,$B$39)*100)</f>
        <v>4.2288644993560798</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594.09999999999991</v>
      </c>
      <c r="C39" s="167">
        <f>IF(ISERROR(B39/SUM($B$32,$B$34,$B$35,$B$36,$B$38,$B$39)*100),0,B39/SUM($B$32,$B$34,$B$35,$B$36,$B$38,$B$39)*100)</f>
        <v>10.616511794138669</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3576</v>
      </c>
      <c r="C44" s="34" t="s">
        <v>111</v>
      </c>
      <c r="D44" s="174"/>
    </row>
    <row r="45" spans="1:7">
      <c r="A45" s="171" t="s">
        <v>72</v>
      </c>
      <c r="B45" s="33" t="str">
        <f t="shared" si="0"/>
        <v>-</v>
      </c>
      <c r="C45" s="34" t="s">
        <v>111</v>
      </c>
      <c r="D45" s="174"/>
    </row>
    <row r="46" spans="1:7">
      <c r="A46" s="171" t="s">
        <v>73</v>
      </c>
      <c r="B46" s="33">
        <f t="shared" si="0"/>
        <v>186.5101265822785</v>
      </c>
      <c r="C46" s="34" t="s">
        <v>111</v>
      </c>
      <c r="D46" s="174"/>
    </row>
    <row r="47" spans="1:7">
      <c r="A47" s="171" t="s">
        <v>74</v>
      </c>
      <c r="B47" s="33">
        <f t="shared" si="0"/>
        <v>1002.7426160337552</v>
      </c>
      <c r="C47" s="34" t="s">
        <v>111</v>
      </c>
      <c r="D47" s="174"/>
    </row>
    <row r="48" spans="1:7">
      <c r="A48" s="171" t="s">
        <v>75</v>
      </c>
      <c r="B48" s="33">
        <f t="shared" si="0"/>
        <v>236.64725738396623</v>
      </c>
      <c r="C48" s="33">
        <f>B48*10</f>
        <v>2366.4725738396623</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594.09999999999991</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205</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39</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14643.347400000001</v>
      </c>
      <c r="C5" s="17">
        <f>IF(ISERROR('Eigen informatie GS &amp; warmtenet'!B58),0,'Eigen informatie GS &amp; warmtenet'!B58)</f>
        <v>0</v>
      </c>
      <c r="D5" s="30">
        <f>SUM(D6:D12)</f>
        <v>15989.687381495531</v>
      </c>
      <c r="E5" s="17">
        <f>SUM(E6:E12)</f>
        <v>206.73061287313351</v>
      </c>
      <c r="F5" s="17">
        <f>SUM(F6:F12)</f>
        <v>2489.746448093706</v>
      </c>
      <c r="G5" s="18"/>
      <c r="H5" s="17"/>
      <c r="I5" s="17"/>
      <c r="J5" s="17">
        <f>SUM(J6:J12)</f>
        <v>2.5185626611914411E-2</v>
      </c>
      <c r="K5" s="17"/>
      <c r="L5" s="17"/>
      <c r="M5" s="17"/>
      <c r="N5" s="17">
        <f>SUM(N6:N12)</f>
        <v>1019.9252299585266</v>
      </c>
      <c r="O5" s="17">
        <f>B38*B39*B40</f>
        <v>0</v>
      </c>
      <c r="P5" s="17">
        <f>B46*B47*B48/1000-B46*B47*B48/1000/B49</f>
        <v>57.2</v>
      </c>
      <c r="R5" s="32"/>
    </row>
    <row r="6" spans="1:18">
      <c r="A6" s="32" t="s">
        <v>54</v>
      </c>
      <c r="B6" s="37">
        <f>B26</f>
        <v>5178.2049999999999</v>
      </c>
      <c r="C6" s="33"/>
      <c r="D6" s="37">
        <f>IF(ISERROR(TER_kantoor_gas_kWh/1000),0,TER_kantoor_gas_kWh/1000)*0.902</f>
        <v>3669.2379053690161</v>
      </c>
      <c r="E6" s="33">
        <f>$C$26*'E Balans VL '!I12/100/3.6*1000000</f>
        <v>3.245526669599838E-2</v>
      </c>
      <c r="F6" s="33">
        <f>$C$26*('E Balans VL '!L12+'E Balans VL '!N12)/100/3.6*1000000</f>
        <v>778.13951865239881</v>
      </c>
      <c r="G6" s="34"/>
      <c r="H6" s="33"/>
      <c r="I6" s="33"/>
      <c r="J6" s="33">
        <f>$C$26*('E Balans VL '!D12+'E Balans VL '!E12)/100/3.6*1000000</f>
        <v>0</v>
      </c>
      <c r="K6" s="33"/>
      <c r="L6" s="33"/>
      <c r="M6" s="33"/>
      <c r="N6" s="33">
        <f>$C$26*'E Balans VL '!Y12/100/3.6*1000000</f>
        <v>4.9521853293523215</v>
      </c>
      <c r="O6" s="33"/>
      <c r="P6" s="33"/>
      <c r="R6" s="32"/>
    </row>
    <row r="7" spans="1:18">
      <c r="A7" s="32" t="s">
        <v>53</v>
      </c>
      <c r="B7" s="37">
        <f t="shared" ref="B7:B12" si="0">B27</f>
        <v>1925.2380000000001</v>
      </c>
      <c r="C7" s="33"/>
      <c r="D7" s="37">
        <f>IF(ISERROR(TER_horeca_gas_kWh/1000),0,TER_horeca_gas_kWh/1000)*0.902</f>
        <v>1871.7155667354421</v>
      </c>
      <c r="E7" s="33">
        <f>$C$27*'E Balans VL '!I9/100/3.6*1000000</f>
        <v>27.569087476567059</v>
      </c>
      <c r="F7" s="33">
        <f>$C$27*('E Balans VL '!L9+'E Balans VL '!N9)/100/3.6*1000000</f>
        <v>243.79862759550895</v>
      </c>
      <c r="G7" s="34"/>
      <c r="H7" s="33"/>
      <c r="I7" s="33"/>
      <c r="J7" s="33">
        <f>$C$27*('E Balans VL '!D9+'E Balans VL '!E9)/100/3.6*1000000</f>
        <v>0</v>
      </c>
      <c r="K7" s="33"/>
      <c r="L7" s="33"/>
      <c r="M7" s="33"/>
      <c r="N7" s="33">
        <f>$C$27*'E Balans VL '!Y9/100/3.6*1000000</f>
        <v>0.55346347714580968</v>
      </c>
      <c r="O7" s="33"/>
      <c r="P7" s="33"/>
      <c r="R7" s="32"/>
    </row>
    <row r="8" spans="1:18">
      <c r="A8" s="6" t="s">
        <v>52</v>
      </c>
      <c r="B8" s="37">
        <f t="shared" si="0"/>
        <v>4862.6085499999999</v>
      </c>
      <c r="C8" s="33"/>
      <c r="D8" s="37">
        <f>IF(ISERROR(TER_handel_gas_kWh/1000),0,TER_handel_gas_kWh/1000)*0.902</f>
        <v>1905.7029924314031</v>
      </c>
      <c r="E8" s="33">
        <f>$C$28*'E Balans VL '!I13/100/3.6*1000000</f>
        <v>176.36621247847802</v>
      </c>
      <c r="F8" s="33">
        <f>$C$28*('E Balans VL '!L13+'E Balans VL '!N13)/100/3.6*1000000</f>
        <v>936.58764377196223</v>
      </c>
      <c r="G8" s="34"/>
      <c r="H8" s="33"/>
      <c r="I8" s="33"/>
      <c r="J8" s="33">
        <f>$C$28*('E Balans VL '!D13+'E Balans VL '!E13)/100/3.6*1000000</f>
        <v>0</v>
      </c>
      <c r="K8" s="33"/>
      <c r="L8" s="33"/>
      <c r="M8" s="33"/>
      <c r="N8" s="33">
        <f>$C$28*'E Balans VL '!Y13/100/3.6*1000000</f>
        <v>6.7358316780787515</v>
      </c>
      <c r="O8" s="33"/>
      <c r="P8" s="33"/>
      <c r="R8" s="32"/>
    </row>
    <row r="9" spans="1:18">
      <c r="A9" s="32" t="s">
        <v>51</v>
      </c>
      <c r="B9" s="37">
        <f t="shared" si="0"/>
        <v>1431.4839999999999</v>
      </c>
      <c r="C9" s="33"/>
      <c r="D9" s="37">
        <f>IF(ISERROR(TER_gezond_gas_kWh/1000),0,TER_gezond_gas_kWh/1000)*0.902</f>
        <v>1019.0237622408785</v>
      </c>
      <c r="E9" s="33">
        <f>$C$29*'E Balans VL '!I10/100/3.6*1000000</f>
        <v>8.9625031751162459E-2</v>
      </c>
      <c r="F9" s="33">
        <f>$C$29*('E Balans VL '!L10+'E Balans VL '!N10)/100/3.6*1000000</f>
        <v>212.65130665370279</v>
      </c>
      <c r="G9" s="34"/>
      <c r="H9" s="33"/>
      <c r="I9" s="33"/>
      <c r="J9" s="33">
        <f>$C$29*('E Balans VL '!D10+'E Balans VL '!E10)/100/3.6*1000000</f>
        <v>0</v>
      </c>
      <c r="K9" s="33"/>
      <c r="L9" s="33"/>
      <c r="M9" s="33"/>
      <c r="N9" s="33">
        <f>$C$29*'E Balans VL '!Y10/100/3.6*1000000</f>
        <v>22.14233263839893</v>
      </c>
      <c r="O9" s="33"/>
      <c r="P9" s="33"/>
      <c r="R9" s="32"/>
    </row>
    <row r="10" spans="1:18">
      <c r="A10" s="32" t="s">
        <v>50</v>
      </c>
      <c r="B10" s="37">
        <f t="shared" si="0"/>
        <v>1160.30285</v>
      </c>
      <c r="C10" s="33"/>
      <c r="D10" s="37">
        <f>IF(ISERROR(TER_ander_gas_kWh/1000),0,TER_ander_gas_kWh/1000)*0.902</f>
        <v>3327.6682408121619</v>
      </c>
      <c r="E10" s="33">
        <f>$C$30*'E Balans VL '!I14/100/3.6*1000000</f>
        <v>1.3830395349820246</v>
      </c>
      <c r="F10" s="33">
        <f>$C$30*('E Balans VL '!L14+'E Balans VL '!N14)/100/3.6*1000000</f>
        <v>303.58680857321895</v>
      </c>
      <c r="G10" s="34"/>
      <c r="H10" s="33"/>
      <c r="I10" s="33"/>
      <c r="J10" s="33">
        <f>$C$30*('E Balans VL '!D14+'E Balans VL '!E14)/100/3.6*1000000</f>
        <v>2.5185626611914411E-2</v>
      </c>
      <c r="K10" s="33"/>
      <c r="L10" s="33"/>
      <c r="M10" s="33"/>
      <c r="N10" s="33">
        <f>$C$30*'E Balans VL '!Y14/100/3.6*1000000</f>
        <v>985.30078800890919</v>
      </c>
      <c r="O10" s="33"/>
      <c r="P10" s="33"/>
      <c r="R10" s="32"/>
    </row>
    <row r="11" spans="1:18">
      <c r="A11" s="32" t="s">
        <v>55</v>
      </c>
      <c r="B11" s="37">
        <f t="shared" si="0"/>
        <v>85.509</v>
      </c>
      <c r="C11" s="33"/>
      <c r="D11" s="37">
        <f>IF(ISERROR(TER_onderwijs_gas_kWh/1000),0,TER_onderwijs_gas_kWh/1000)*0.902</f>
        <v>1015.6790356177763</v>
      </c>
      <c r="E11" s="33">
        <f>$C$31*'E Balans VL '!I11/100/3.6*1000000</f>
        <v>1.2901930846592395</v>
      </c>
      <c r="F11" s="33">
        <f>$C$31*('E Balans VL '!L11+'E Balans VL '!N11)/100/3.6*1000000</f>
        <v>14.982542846914439</v>
      </c>
      <c r="G11" s="34"/>
      <c r="H11" s="33"/>
      <c r="I11" s="33"/>
      <c r="J11" s="33">
        <f>$C$31*('E Balans VL '!D11+'E Balans VL '!E11)/100/3.6*1000000</f>
        <v>0</v>
      </c>
      <c r="K11" s="33"/>
      <c r="L11" s="33"/>
      <c r="M11" s="33"/>
      <c r="N11" s="33">
        <f>$C$31*'E Balans VL '!Y11/100/3.6*1000000</f>
        <v>0.2406288266417366</v>
      </c>
      <c r="O11" s="33"/>
      <c r="P11" s="33"/>
      <c r="R11" s="32"/>
    </row>
    <row r="12" spans="1:18">
      <c r="A12" s="32" t="s">
        <v>260</v>
      </c>
      <c r="B12" s="37">
        <f t="shared" si="0"/>
        <v>0</v>
      </c>
      <c r="C12" s="33"/>
      <c r="D12" s="37">
        <f>IF(ISERROR(TER_rest_gas_kWh/1000),0,TER_rest_gas_kWh/1000)*0.902</f>
        <v>3180.6598782888527</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energieproductie'!N90+'lokale energieproductie'!N59</f>
        <v>24.75</v>
      </c>
      <c r="C13" s="247">
        <f ca="1">'lokale energieproductie'!O90+'lokale energieproductie'!O59</f>
        <v>35.357142857142861</v>
      </c>
      <c r="D13" s="310">
        <f ca="1">('lokale energieproductie'!P59+'lokale energieproductie'!P90)*(-1)</f>
        <v>-70.714285714285722</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14668.097400000001</v>
      </c>
      <c r="C16" s="21">
        <f t="shared" ca="1" si="1"/>
        <v>35.357142857142861</v>
      </c>
      <c r="D16" s="21">
        <f t="shared" ca="1" si="1"/>
        <v>15918.973095781244</v>
      </c>
      <c r="E16" s="21">
        <f t="shared" si="1"/>
        <v>206.73061287313351</v>
      </c>
      <c r="F16" s="21">
        <f t="shared" ca="1" si="1"/>
        <v>2489.746448093706</v>
      </c>
      <c r="G16" s="21">
        <f t="shared" si="1"/>
        <v>0</v>
      </c>
      <c r="H16" s="21">
        <f t="shared" si="1"/>
        <v>0</v>
      </c>
      <c r="I16" s="21">
        <f t="shared" si="1"/>
        <v>0</v>
      </c>
      <c r="J16" s="21">
        <f t="shared" si="1"/>
        <v>2.5185626611914411E-2</v>
      </c>
      <c r="K16" s="21">
        <f t="shared" si="1"/>
        <v>0</v>
      </c>
      <c r="L16" s="21">
        <f t="shared" ca="1" si="1"/>
        <v>0</v>
      </c>
      <c r="M16" s="21">
        <f t="shared" si="1"/>
        <v>0</v>
      </c>
      <c r="N16" s="21">
        <f t="shared" ca="1" si="1"/>
        <v>1019.9252299585266</v>
      </c>
      <c r="O16" s="21">
        <f>O5</f>
        <v>0</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0.2072887912564377</v>
      </c>
      <c r="C18" s="25">
        <f ca="1">'EF ele_warmte'!B22</f>
        <v>0.23650316418746939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3040.5321800776969</v>
      </c>
      <c r="C20" s="23">
        <f t="shared" ref="C20:P20" ca="1" si="2">C16*C18</f>
        <v>8.3620761623426692</v>
      </c>
      <c r="D20" s="23">
        <f t="shared" ca="1" si="2"/>
        <v>3215.6325653478116</v>
      </c>
      <c r="E20" s="23">
        <f t="shared" si="2"/>
        <v>46.927849122201309</v>
      </c>
      <c r="F20" s="23">
        <f t="shared" ca="1" si="2"/>
        <v>664.76230164101958</v>
      </c>
      <c r="G20" s="23">
        <f t="shared" si="2"/>
        <v>0</v>
      </c>
      <c r="H20" s="23">
        <f t="shared" si="2"/>
        <v>0</v>
      </c>
      <c r="I20" s="23">
        <f t="shared" si="2"/>
        <v>0</v>
      </c>
      <c r="J20" s="23">
        <f t="shared" si="2"/>
        <v>8.9157118206177003E-3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5178.2049999999999</v>
      </c>
      <c r="C26" s="39">
        <f>IF(ISERROR(B26*3.6/1000000/'E Balans VL '!Z12*100),0,B26*3.6/1000000/'E Balans VL '!Z12*100)</f>
        <v>0.109459050760687</v>
      </c>
      <c r="D26" s="237" t="s">
        <v>754</v>
      </c>
      <c r="F26" s="6"/>
    </row>
    <row r="27" spans="1:18">
      <c r="A27" s="231" t="s">
        <v>53</v>
      </c>
      <c r="B27" s="33">
        <f>IF(ISERROR(TER_horeca_ele_kWh/1000),0,TER_horeca_ele_kWh/1000)</f>
        <v>1925.2380000000001</v>
      </c>
      <c r="C27" s="39">
        <f>IF(ISERROR(B27*3.6/1000000/'E Balans VL '!Z9*100),0,B27*3.6/1000000/'E Balans VL '!Z9*100)</f>
        <v>0.151765793967164</v>
      </c>
      <c r="D27" s="237" t="s">
        <v>754</v>
      </c>
      <c r="F27" s="6"/>
    </row>
    <row r="28" spans="1:18">
      <c r="A28" s="171" t="s">
        <v>52</v>
      </c>
      <c r="B28" s="33">
        <f>IF(ISERROR(TER_handel_ele_kWh/1000),0,TER_handel_ele_kWh/1000)</f>
        <v>4862.6085499999999</v>
      </c>
      <c r="C28" s="39">
        <f>IF(ISERROR(B28*3.6/1000000/'E Balans VL '!Z13*100),0,B28*3.6/1000000/'E Balans VL '!Z13*100)</f>
        <v>0.14113254726112401</v>
      </c>
      <c r="D28" s="237" t="s">
        <v>754</v>
      </c>
      <c r="F28" s="6"/>
    </row>
    <row r="29" spans="1:18">
      <c r="A29" s="231" t="s">
        <v>51</v>
      </c>
      <c r="B29" s="33">
        <f>IF(ISERROR(TER_gezond_ele_kWh/1000),0,TER_gezond_ele_kWh/1000)</f>
        <v>1431.4839999999999</v>
      </c>
      <c r="C29" s="39">
        <f>IF(ISERROR(B29*3.6/1000000/'E Balans VL '!Z10*100),0,B29*3.6/1000000/'E Balans VL '!Z10*100)</f>
        <v>0.15075877078773664</v>
      </c>
      <c r="D29" s="237" t="s">
        <v>754</v>
      </c>
      <c r="F29" s="6"/>
    </row>
    <row r="30" spans="1:18">
      <c r="A30" s="231" t="s">
        <v>50</v>
      </c>
      <c r="B30" s="33">
        <f>IF(ISERROR(TER_ander_ele_kWh/1000),0,TER_ander_ele_kWh/1000)</f>
        <v>1160.30285</v>
      </c>
      <c r="C30" s="39">
        <f>IF(ISERROR(B30*3.6/1000000/'E Balans VL '!Z14*100),0,B30*3.6/1000000/'E Balans VL '!Z14*100)</f>
        <v>8.5584190232525392E-2</v>
      </c>
      <c r="D30" s="237" t="s">
        <v>754</v>
      </c>
      <c r="F30" s="6"/>
    </row>
    <row r="31" spans="1:18">
      <c r="A31" s="231" t="s">
        <v>55</v>
      </c>
      <c r="B31" s="33">
        <f>IF(ISERROR(TER_onderwijs_ele_kWh/1000),0,TER_onderwijs_ele_kWh/1000)</f>
        <v>85.509</v>
      </c>
      <c r="C31" s="39">
        <f>IF(ISERROR(B31*3.6/1000000/'E Balans VL '!Z11*100),0,B31*3.6/1000000/'E Balans VL '!Z11*100)</f>
        <v>2.1235890177450815E-2</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3</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19039.950550000001</v>
      </c>
      <c r="C5" s="17">
        <f>IF(ISERROR('Eigen informatie GS &amp; warmtenet'!B59),0,'Eigen informatie GS &amp; warmtenet'!B59)</f>
        <v>0</v>
      </c>
      <c r="D5" s="30">
        <f>SUM(D6:D15)</f>
        <v>19158.619833618071</v>
      </c>
      <c r="E5" s="17">
        <f>SUM(E6:E15)</f>
        <v>643.68143825459401</v>
      </c>
      <c r="F5" s="17">
        <f>SUM(F6:F15)</f>
        <v>2143.4101807661532</v>
      </c>
      <c r="G5" s="18"/>
      <c r="H5" s="17"/>
      <c r="I5" s="17"/>
      <c r="J5" s="17">
        <f>SUM(J6:J15)</f>
        <v>2.4851553660876293</v>
      </c>
      <c r="K5" s="17"/>
      <c r="L5" s="17"/>
      <c r="M5" s="17"/>
      <c r="N5" s="17">
        <f>SUM(N6:N15)</f>
        <v>47447.050431534488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194.59399999999999</v>
      </c>
      <c r="C8" s="33"/>
      <c r="D8" s="37">
        <f>IF( ISERROR(IND_metaal_Gas_kWH/1000),0,IND_metaal_Gas_kWH/1000)*0.902</f>
        <v>0</v>
      </c>
      <c r="E8" s="33">
        <f>C30*'E Balans VL '!I18/100/3.6*1000000</f>
        <v>1.7891038893274789</v>
      </c>
      <c r="F8" s="33">
        <f>C30*'E Balans VL '!L18/100/3.6*1000000+C30*'E Balans VL '!N18/100/3.6*1000000</f>
        <v>18.246438509937288</v>
      </c>
      <c r="G8" s="34"/>
      <c r="H8" s="33"/>
      <c r="I8" s="33"/>
      <c r="J8" s="40">
        <f>C30*'E Balans VL '!D18/100/3.6*1000000+C30*'E Balans VL '!E18/100/3.6*1000000</f>
        <v>0</v>
      </c>
      <c r="K8" s="33"/>
      <c r="L8" s="33"/>
      <c r="M8" s="33"/>
      <c r="N8" s="33">
        <f>C30*'E Balans VL '!Y18/100/3.6*1000000</f>
        <v>2.7762049901270762</v>
      </c>
      <c r="O8" s="33"/>
      <c r="P8" s="33"/>
      <c r="R8" s="32"/>
    </row>
    <row r="9" spans="1:18">
      <c r="A9" s="6" t="s">
        <v>33</v>
      </c>
      <c r="B9" s="37">
        <f t="shared" si="0"/>
        <v>2112.8355499999998</v>
      </c>
      <c r="C9" s="33"/>
      <c r="D9" s="37">
        <f>IF( ISERROR(IND_andere_gas_kWh/1000),0,IND_andere_gas_kWh/1000)*0.902</f>
        <v>1107.3146364081545</v>
      </c>
      <c r="E9" s="33">
        <f>C31*'E Balans VL '!I19/100/3.6*1000000</f>
        <v>617.62296332166034</v>
      </c>
      <c r="F9" s="33">
        <f>C31*'E Balans VL '!L19/100/3.6*1000000+C31*'E Balans VL '!N19/100/3.6*1000000</f>
        <v>1697.8232913810991</v>
      </c>
      <c r="G9" s="34"/>
      <c r="H9" s="33"/>
      <c r="I9" s="33"/>
      <c r="J9" s="40">
        <f>C31*'E Balans VL '!D19/100/3.6*1000000+C31*'E Balans VL '!E19/100/3.6*1000000</f>
        <v>0</v>
      </c>
      <c r="K9" s="33"/>
      <c r="L9" s="33"/>
      <c r="M9" s="33"/>
      <c r="N9" s="33">
        <f>C31*'E Balans VL '!Y19/100/3.6*1000000</f>
        <v>698.11363347614451</v>
      </c>
      <c r="O9" s="33"/>
      <c r="P9" s="33"/>
      <c r="R9" s="32"/>
    </row>
    <row r="10" spans="1:18">
      <c r="A10" s="6" t="s">
        <v>41</v>
      </c>
      <c r="B10" s="37">
        <f t="shared" si="0"/>
        <v>496.97500000000002</v>
      </c>
      <c r="C10" s="33"/>
      <c r="D10" s="37">
        <f>IF( ISERROR(IND_voed_gas_kWh/1000),0,IND_voed_gas_kWh/1000)*0.902</f>
        <v>468.59505616312055</v>
      </c>
      <c r="E10" s="33">
        <f>C32*'E Balans VL '!I20/100/3.6*1000000</f>
        <v>1.0513583181886401</v>
      </c>
      <c r="F10" s="33">
        <f>C32*'E Balans VL '!L20/100/3.6*1000000+C32*'E Balans VL '!N20/100/3.6*1000000</f>
        <v>31.598178145076041</v>
      </c>
      <c r="G10" s="34"/>
      <c r="H10" s="33"/>
      <c r="I10" s="33"/>
      <c r="J10" s="40">
        <f>C32*'E Balans VL '!D20/100/3.6*1000000+C32*'E Balans VL '!E20/100/3.6*1000000</f>
        <v>0</v>
      </c>
      <c r="K10" s="33"/>
      <c r="L10" s="33"/>
      <c r="M10" s="33"/>
      <c r="N10" s="33">
        <f>C32*'E Balans VL '!Y20/100/3.6*1000000</f>
        <v>34.296179269133766</v>
      </c>
      <c r="O10" s="33"/>
      <c r="P10" s="33"/>
      <c r="R10" s="32"/>
    </row>
    <row r="11" spans="1:18">
      <c r="A11" s="6" t="s">
        <v>40</v>
      </c>
      <c r="B11" s="37">
        <f t="shared" si="0"/>
        <v>18.38</v>
      </c>
      <c r="C11" s="33"/>
      <c r="D11" s="37">
        <f>IF( ISERROR(IND_textiel_gas_kWh/1000),0,IND_textiel_gas_kWh/1000)*0.902</f>
        <v>0</v>
      </c>
      <c r="E11" s="33">
        <f>C33*'E Balans VL '!I21/100/3.6*1000000</f>
        <v>5.4587015339360757E-2</v>
      </c>
      <c r="F11" s="33">
        <f>C33*'E Balans VL '!L21/100/3.6*1000000+C33*'E Balans VL '!N21/100/3.6*1000000</f>
        <v>1.8568846066633453</v>
      </c>
      <c r="G11" s="34"/>
      <c r="H11" s="33"/>
      <c r="I11" s="33"/>
      <c r="J11" s="40">
        <f>C33*'E Balans VL '!D21/100/3.6*1000000+C33*'E Balans VL '!E21/100/3.6*1000000</f>
        <v>0</v>
      </c>
      <c r="K11" s="33"/>
      <c r="L11" s="33"/>
      <c r="M11" s="33"/>
      <c r="N11" s="33">
        <f>C33*'E Balans VL '!Y21/100/3.6*1000000</f>
        <v>1.0137156570911383</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16068.571</v>
      </c>
      <c r="C13" s="33"/>
      <c r="D13" s="37">
        <f>IF( ISERROR(IND_papier_gas_kWh/1000),0,IND_papier_gas_kWh/1000)*0.902</f>
        <v>16184.054916811798</v>
      </c>
      <c r="E13" s="33">
        <f>C35*'E Balans VL '!I23/100/3.6*1000000</f>
        <v>22.797627395340115</v>
      </c>
      <c r="F13" s="33">
        <f>C35*'E Balans VL '!L23/100/3.6*1000000+C35*'E Balans VL '!N23/100/3.6*1000000</f>
        <v>392.29423983261495</v>
      </c>
      <c r="G13" s="34"/>
      <c r="H13" s="33"/>
      <c r="I13" s="33"/>
      <c r="J13" s="40">
        <f>C35*'E Balans VL '!D23/100/3.6*1000000+C35*'E Balans VL '!E23/100/3.6*1000000</f>
        <v>2.4851553660876293</v>
      </c>
      <c r="K13" s="33"/>
      <c r="L13" s="33"/>
      <c r="M13" s="33"/>
      <c r="N13" s="33">
        <f>C35*'E Balans VL '!Y23/100/3.6*1000000</f>
        <v>46707.532204981784</v>
      </c>
      <c r="O13" s="33"/>
      <c r="P13" s="33"/>
      <c r="R13" s="32"/>
    </row>
    <row r="14" spans="1:18">
      <c r="A14" s="6" t="s">
        <v>34</v>
      </c>
      <c r="B14" s="37">
        <f t="shared" si="0"/>
        <v>148.595</v>
      </c>
      <c r="C14" s="33"/>
      <c r="D14" s="37">
        <f>IF( ISERROR(IND_chemie_gas_kWh/1000),0,IND_chemie_gas_kWh/1000)*0.902</f>
        <v>0</v>
      </c>
      <c r="E14" s="33">
        <f>C36*'E Balans VL '!I24/100/3.6*1000000</f>
        <v>0.36579831473802926</v>
      </c>
      <c r="F14" s="33">
        <f>C36*'E Balans VL '!L24/100/3.6*1000000+C36*'E Balans VL '!N24/100/3.6*1000000</f>
        <v>1.5911482907627772</v>
      </c>
      <c r="G14" s="34"/>
      <c r="H14" s="33"/>
      <c r="I14" s="33"/>
      <c r="J14" s="40">
        <f>C36*'E Balans VL '!D24/100/3.6*1000000+C36*'E Balans VL '!E24/100/3.6*1000000</f>
        <v>0</v>
      </c>
      <c r="K14" s="33"/>
      <c r="L14" s="33"/>
      <c r="M14" s="33"/>
      <c r="N14" s="33">
        <f>C36*'E Balans VL '!Y24/100/3.6*1000000</f>
        <v>3.3184931602074657</v>
      </c>
      <c r="O14" s="33"/>
      <c r="P14" s="33"/>
      <c r="R14" s="32"/>
    </row>
    <row r="15" spans="1:18">
      <c r="A15" s="6" t="s">
        <v>270</v>
      </c>
      <c r="B15" s="37">
        <f t="shared" si="0"/>
        <v>0</v>
      </c>
      <c r="C15" s="33"/>
      <c r="D15" s="37">
        <f>IF( ISERROR(IND_rest_gas_kWh/1000),0,IND_rest_gas_kWh/1000)*0.902</f>
        <v>1398.6552242349981</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19039.950550000001</v>
      </c>
      <c r="C18" s="21">
        <f>C5+C16</f>
        <v>0</v>
      </c>
      <c r="D18" s="21">
        <f>MAX((D5+D16),0)</f>
        <v>19158.619833618071</v>
      </c>
      <c r="E18" s="21">
        <f>MAX((E5+E16),0)</f>
        <v>643.68143825459401</v>
      </c>
      <c r="F18" s="21">
        <f>MAX((F5+F16),0)</f>
        <v>2143.4101807661532</v>
      </c>
      <c r="G18" s="21"/>
      <c r="H18" s="21"/>
      <c r="I18" s="21"/>
      <c r="J18" s="21">
        <f>MAX((J5+J16),0)</f>
        <v>2.4851553660876293</v>
      </c>
      <c r="K18" s="21"/>
      <c r="L18" s="21">
        <f>MAX((L5+L16),0)</f>
        <v>0</v>
      </c>
      <c r="M18" s="21"/>
      <c r="N18" s="21">
        <f>MAX((N5+N16),0)</f>
        <v>47447.050431534488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0.2072887912564377</v>
      </c>
      <c r="C20" s="25">
        <f ca="1">'EF ele_warmte'!B22</f>
        <v>0.23650316418746939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3946.7683350918464</v>
      </c>
      <c r="C22" s="23">
        <f ca="1">C18*C20</f>
        <v>0</v>
      </c>
      <c r="D22" s="23">
        <f>D18*D20</f>
        <v>3870.0412063908507</v>
      </c>
      <c r="E22" s="23">
        <f>E18*E20</f>
        <v>146.11568648379284</v>
      </c>
      <c r="F22" s="23">
        <f>F18*F20</f>
        <v>572.29051826456293</v>
      </c>
      <c r="G22" s="23"/>
      <c r="H22" s="23"/>
      <c r="I22" s="23"/>
      <c r="J22" s="23">
        <f>J18*J20</f>
        <v>0.87974499959502073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194.59399999999999</v>
      </c>
      <c r="C30" s="39">
        <f>IF(ISERROR(B30*3.6/1000000/'E Balans VL '!Z18*100),0,B30*3.6/1000000/'E Balans VL '!Z18*100)</f>
        <v>1.1028140951651161E-2</v>
      </c>
      <c r="D30" s="237" t="s">
        <v>754</v>
      </c>
    </row>
    <row r="31" spans="1:18">
      <c r="A31" s="6" t="s">
        <v>33</v>
      </c>
      <c r="B31" s="37">
        <f>IF( ISERROR(IND_ander_ele_kWh/1000),0,IND_ander_ele_kWh/1000)</f>
        <v>2112.8355499999998</v>
      </c>
      <c r="C31" s="39">
        <f>IF(ISERROR(B31*3.6/1000000/'E Balans VL '!Z19*100),0,B31*3.6/1000000/'E Balans VL '!Z19*100)</f>
        <v>9.5829422853890969E-2</v>
      </c>
      <c r="D31" s="237" t="s">
        <v>754</v>
      </c>
    </row>
    <row r="32" spans="1:18">
      <c r="A32" s="171" t="s">
        <v>41</v>
      </c>
      <c r="B32" s="37">
        <f>IF( ISERROR(IND_voed_ele_kWh/1000),0,IND_voed_ele_kWh/1000)</f>
        <v>496.97500000000002</v>
      </c>
      <c r="C32" s="39">
        <f>IF(ISERROR(B32*3.6/1000000/'E Balans VL '!Z20*100),0,B32*3.6/1000000/'E Balans VL '!Z20*100)</f>
        <v>1.5373692826007109E-2</v>
      </c>
      <c r="D32" s="237" t="s">
        <v>754</v>
      </c>
    </row>
    <row r="33" spans="1:5">
      <c r="A33" s="171" t="s">
        <v>40</v>
      </c>
      <c r="B33" s="37">
        <f>IF( ISERROR(IND_textiel_ele_kWh/1000),0,IND_textiel_ele_kWh/1000)</f>
        <v>18.38</v>
      </c>
      <c r="C33" s="39">
        <f>IF(ISERROR(B33*3.6/1000000/'E Balans VL '!Z21*100),0,B33*3.6/1000000/'E Balans VL '!Z21*100)</f>
        <v>2.3965476958968069E-3</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16068.571</v>
      </c>
      <c r="C35" s="39">
        <f>IF(ISERROR(B35*3.6/1000000/'E Balans VL '!Z22*100),0,B35*3.6/1000000/'E Balans VL '!Z22*100)</f>
        <v>2.8902345892586174</v>
      </c>
      <c r="D35" s="237" t="s">
        <v>754</v>
      </c>
    </row>
    <row r="36" spans="1:5">
      <c r="A36" s="171" t="s">
        <v>34</v>
      </c>
      <c r="B36" s="37">
        <f>IF( ISERROR(IND_chemie_ele_kWh/1000),0,IND_chemie_ele_kWh/1000)</f>
        <v>148.595</v>
      </c>
      <c r="C36" s="39">
        <f>IF(ISERROR(B36*3.6/1000000/'E Balans VL '!Z24*100),0,B36*3.6/1000000/'E Balans VL '!Z24*100)</f>
        <v>4.5312596252377706E-3</v>
      </c>
      <c r="D36" s="237" t="s">
        <v>754</v>
      </c>
    </row>
    <row r="37" spans="1:5">
      <c r="A37" s="171" t="s">
        <v>270</v>
      </c>
      <c r="B37" s="37">
        <f>IF( ISERROR(IND_rest_ele_kWh/1000),0,IND_rest_ele_kWh/1000)</f>
        <v>0</v>
      </c>
      <c r="C37" s="39">
        <f>IF(ISERROR(B37*3.6/1000000/'E Balans VL '!Z15*100),0,B37*3.6/1000000/'E Balans VL '!Z15*100)</f>
        <v>0</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12658.498</v>
      </c>
      <c r="C5" s="17">
        <f>'Eigen informatie GS &amp; warmtenet'!B60</f>
        <v>0</v>
      </c>
      <c r="D5" s="30">
        <f>IF(ISERROR(SUM(LB_lb_gas_kWh,LB_rest_gas_kWh,onbekend_gas_kWh)/1000),0,SUM(LB_lb_gas_kWh,LB_rest_gas_kWh,onbekend_gas_kWh)/1000)*0.902</f>
        <v>32458.687309899135</v>
      </c>
      <c r="E5" s="17">
        <f>B17*'E Balans VL '!I25/3.6*1000000/100</f>
        <v>372.07191973549294</v>
      </c>
      <c r="F5" s="17">
        <f>B17*('E Balans VL '!L25/3.6*1000000+'E Balans VL '!N25/3.6*1000000)/100</f>
        <v>52734.618638671178</v>
      </c>
      <c r="G5" s="18"/>
      <c r="H5" s="17"/>
      <c r="I5" s="17"/>
      <c r="J5" s="17">
        <f>('E Balans VL '!D25+'E Balans VL '!E25)/3.6*1000000*landbouw!B17/100</f>
        <v>1833.9445158436783</v>
      </c>
      <c r="K5" s="17"/>
      <c r="L5" s="17">
        <f>L6*(-1)</f>
        <v>0</v>
      </c>
      <c r="M5" s="17"/>
      <c r="N5" s="17">
        <f>N6*(-1)</f>
        <v>124.71428571428569</v>
      </c>
      <c r="O5" s="17"/>
      <c r="P5" s="17"/>
      <c r="R5" s="32"/>
    </row>
    <row r="6" spans="1:18">
      <c r="A6" s="16" t="s">
        <v>488</v>
      </c>
      <c r="B6" s="17" t="s">
        <v>211</v>
      </c>
      <c r="C6" s="17">
        <f>'lokale energieproductie'!O91+'lokale energieproductie'!O60</f>
        <v>12919.5</v>
      </c>
      <c r="D6" s="310">
        <f>('lokale energieproductie'!P60+'lokale energieproductie'!P91)*(-1)</f>
        <v>-25714.285714285717</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12658.498</v>
      </c>
      <c r="C8" s="21">
        <f>C5+C6</f>
        <v>12919.5</v>
      </c>
      <c r="D8" s="21">
        <f>MAX((D5+D6),0)</f>
        <v>6744.4015956134172</v>
      </c>
      <c r="E8" s="21">
        <f>MAX((E5+E6),0)</f>
        <v>372.07191973549294</v>
      </c>
      <c r="F8" s="21">
        <f>MAX((F5+F6),0)</f>
        <v>52734.618638671178</v>
      </c>
      <c r="G8" s="21"/>
      <c r="H8" s="21"/>
      <c r="I8" s="21"/>
      <c r="J8" s="21">
        <f>MAX((J5+J6),0)</f>
        <v>1833.9445158436783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0.2072887912564377</v>
      </c>
      <c r="C10" s="31">
        <f ca="1">'EF ele_warmte'!B22</f>
        <v>0.23650316418746939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2623.964749542034</v>
      </c>
      <c r="C12" s="23">
        <f ca="1">C8*C10</f>
        <v>3055.5026297200106</v>
      </c>
      <c r="D12" s="23">
        <f>D8*D10</f>
        <v>1362.3691223139103</v>
      </c>
      <c r="E12" s="23">
        <f>E8*E10</f>
        <v>84.460325779956904</v>
      </c>
      <c r="F12" s="23">
        <f>F8*F10</f>
        <v>14080.143176525205</v>
      </c>
      <c r="G12" s="23"/>
      <c r="H12" s="23"/>
      <c r="I12" s="23"/>
      <c r="J12" s="23">
        <f>J8*J10</f>
        <v>649.21635860866206</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1.7962805810262963</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725.06711795126091</v>
      </c>
      <c r="C26" s="247">
        <f>B26*'GWP N2O_CH4'!B5</f>
        <v>15226.40947697648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200.38081955817967</v>
      </c>
      <c r="C27" s="247">
        <f>B27*'GWP N2O_CH4'!B5</f>
        <v>4207.9972107217727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9.6336500611218625</v>
      </c>
      <c r="C28" s="247">
        <f>B28*'GWP N2O_CH4'!B4</f>
        <v>2986.4315189477775</v>
      </c>
      <c r="D28" s="50"/>
    </row>
    <row r="29" spans="1:4">
      <c r="A29" s="41" t="s">
        <v>277</v>
      </c>
      <c r="B29" s="247">
        <f>B34*'ha_N2O bodem landbouw'!B4</f>
        <v>21.715878533078751</v>
      </c>
      <c r="C29" s="247">
        <f>B29*'GWP N2O_CH4'!B4</f>
        <v>6731.9223452544129</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4.9554886450019001E-3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3.8452471006430203E-4</v>
      </c>
      <c r="C5" s="463" t="s">
        <v>211</v>
      </c>
      <c r="D5" s="448">
        <f>SUM(D6:D11)</f>
        <v>1.2746576734940292E-3</v>
      </c>
      <c r="E5" s="448">
        <f>SUM(E6:E11)</f>
        <v>1.9802380691075101E-3</v>
      </c>
      <c r="F5" s="461" t="s">
        <v>211</v>
      </c>
      <c r="G5" s="448">
        <f>SUM(G6:G11)</f>
        <v>0.76164870675757612</v>
      </c>
      <c r="H5" s="448">
        <f>SUM(H6:H11)</f>
        <v>0.14806968275421639</v>
      </c>
      <c r="I5" s="463" t="s">
        <v>211</v>
      </c>
      <c r="J5" s="463" t="s">
        <v>211</v>
      </c>
      <c r="K5" s="463" t="s">
        <v>211</v>
      </c>
      <c r="L5" s="463" t="s">
        <v>211</v>
      </c>
      <c r="M5" s="448">
        <f>SUM(M6:M11)</f>
        <v>4.8894591410001367E-2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1.0085459686259097E-4</v>
      </c>
      <c r="C6" s="449"/>
      <c r="D6" s="962">
        <f>vkm_2011_GW_PW*SUMIFS(TableVerdeelsleutelVkm[CNG],TableVerdeelsleutelVkm[Voertuigtype],"Lichte voertuigen")*SUMIFS(TableECFTransport[EnergieConsumptieFactor (PJ per km)],TableECFTransport[Index],CONCATENATE($A6,"_CNG_CNG"))</f>
        <v>3.0250590531447535E-4</v>
      </c>
      <c r="E6" s="962">
        <f>vkm_2011_GW_PW*SUMIFS(TableVerdeelsleutelVkm[LPG],TableVerdeelsleutelVkm[Voertuigtype],"Lichte voertuigen")*SUMIFS(TableECFTransport[EnergieConsumptieFactor (PJ per km)],TableECFTransport[Index],CONCATENATE($A6,"_LPG_LPG"))</f>
        <v>4.1326651949141828E-4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0.10685177750877993</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3.4400548009031091E-2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7.2637679584738827E-3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3.4476882230896989E-2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1.0506015240362246E-5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2.0147145170651918E-3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3.7408034353107346E-5</v>
      </c>
      <c r="C8" s="449"/>
      <c r="D8" s="451">
        <f>vkm_2011_NGW_PW*SUMIFS(TableVerdeelsleutelVkm[CNG],TableVerdeelsleutelVkm[Voertuigtype],"Lichte voertuigen")*SUMIFS(TableECFTransport[EnergieConsumptieFactor (PJ per km)],TableECFTransport[Index],CONCATENATE($A8,"_CNG_CNG"))</f>
        <v>1.99497538053619E-4</v>
      </c>
      <c r="E8" s="451">
        <f>vkm_2011_NGW_PW*SUMIFS(TableVerdeelsleutelVkm[LPG],TableVerdeelsleutelVkm[Voertuigtype],"Lichte voertuigen")*SUMIFS(TableECFTransport[EnergieConsumptieFactor (PJ per km)],TableECFTransport[Index],CONCATENATE($A8,"_LPG_LPG"))</f>
        <v>2.5240509009698313E-4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6.0815774520308764E-2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2.2046387441145301E-2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4.2074426808011E-3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1.1047896830994866E-2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3.1693492756705456E-6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6.4559655421741221E-4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2.4626207884860372E-4</v>
      </c>
      <c r="C10" s="449"/>
      <c r="D10" s="451">
        <f>vkm_2011_SW_PW*SUMIFS(TableVerdeelsleutelVkm[CNG],TableVerdeelsleutelVkm[Voertuigtype],"Lichte voertuigen")*SUMIFS(TableECFTransport[EnergieConsumptieFactor (PJ per km)],TableECFTransport[Index],CONCATENATE($A10,"_CNG_CNG"))</f>
        <v>7.7265423012593481E-4</v>
      </c>
      <c r="E10" s="451">
        <f>vkm_2011_SW_PW*SUMIFS(TableVerdeelsleutelVkm[LPG],TableVerdeelsleutelVkm[Voertuigtype],"Lichte voertuigen")*SUMIFS(TableECFTransport[EnergieConsumptieFactor (PJ per km)],TableECFTransport[Index],CONCATENATE($A10,"_LPG_LPG"))</f>
        <v>1.3145664595191086E-3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0.30301054732921023</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9.1528302843311649E-2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2.0419853206725073E-2</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0.24544582833738537</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8.0769096212315877E-5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1.4343216492718708E-2</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106.81241946230612</v>
      </c>
      <c r="C14" s="21"/>
      <c r="D14" s="21">
        <f t="shared" ref="D14:M14" si="0">((D5)*10^9/3600)+D12</f>
        <v>354.07157597056369</v>
      </c>
      <c r="E14" s="21">
        <f t="shared" si="0"/>
        <v>550.06613030764174</v>
      </c>
      <c r="F14" s="21"/>
      <c r="G14" s="21">
        <f t="shared" si="0"/>
        <v>211569.0852104378</v>
      </c>
      <c r="H14" s="21">
        <f t="shared" si="0"/>
        <v>41130.467431726778</v>
      </c>
      <c r="I14" s="21"/>
      <c r="J14" s="21"/>
      <c r="K14" s="21"/>
      <c r="L14" s="21"/>
      <c r="M14" s="21">
        <f t="shared" si="0"/>
        <v>13581.830947222603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0.2072887912564377</v>
      </c>
      <c r="C16" s="56">
        <f ca="1">'EF ele_warmte'!B22</f>
        <v>0.23650316418746939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22.141017321517037</v>
      </c>
      <c r="C18" s="23"/>
      <c r="D18" s="23">
        <f t="shared" ref="D18:M18" si="1">D14*D16</f>
        <v>71.522458346053867</v>
      </c>
      <c r="E18" s="23">
        <f t="shared" si="1"/>
        <v>124.86501157983469</v>
      </c>
      <c r="F18" s="23"/>
      <c r="G18" s="23">
        <f t="shared" si="1"/>
        <v>56488.945751186897</v>
      </c>
      <c r="H18" s="23">
        <f t="shared" si="1"/>
        <v>10241.486390499967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4.7793949180449354E-3</v>
      </c>
      <c r="H50" s="321">
        <f t="shared" si="2"/>
        <v>0</v>
      </c>
      <c r="I50" s="321">
        <f t="shared" si="2"/>
        <v>0</v>
      </c>
      <c r="J50" s="321">
        <f t="shared" si="2"/>
        <v>0</v>
      </c>
      <c r="K50" s="321">
        <f t="shared" si="2"/>
        <v>0</v>
      </c>
      <c r="L50" s="321">
        <f t="shared" si="2"/>
        <v>0</v>
      </c>
      <c r="M50" s="321">
        <f t="shared" si="2"/>
        <v>2.7144853234101462E-4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4.7793949180449354E-3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2.7144853234101462E-4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1327.6096994569264</v>
      </c>
      <c r="H54" s="21">
        <f t="shared" si="3"/>
        <v>0</v>
      </c>
      <c r="I54" s="21">
        <f t="shared" si="3"/>
        <v>0</v>
      </c>
      <c r="J54" s="21">
        <f t="shared" si="3"/>
        <v>0</v>
      </c>
      <c r="K54" s="21">
        <f t="shared" si="3"/>
        <v>0</v>
      </c>
      <c r="L54" s="21">
        <f t="shared" si="3"/>
        <v>0</v>
      </c>
      <c r="M54" s="21">
        <f t="shared" si="3"/>
        <v>75.40237009472628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0.2072887912564377</v>
      </c>
      <c r="C56" s="56">
        <f ca="1">'EF ele_warmte'!B22</f>
        <v>0.23650316418746939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354.47178975499935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5159.8725674736324</v>
      </c>
      <c r="C6" s="1204"/>
      <c r="D6" s="1189"/>
      <c r="E6" s="1189"/>
      <c r="F6" s="1207"/>
      <c r="G6" s="1210"/>
      <c r="H6" s="1201"/>
      <c r="I6" s="1189"/>
      <c r="J6" s="1189"/>
      <c r="K6" s="1189"/>
      <c r="L6" s="1193"/>
      <c r="M6" s="575"/>
      <c r="N6" s="1167"/>
      <c r="O6" s="1168"/>
      <c r="Q6" s="573"/>
      <c r="R6" s="1155"/>
      <c r="S6" s="1155"/>
    </row>
    <row r="7" spans="1:19" s="563" customFormat="1">
      <c r="A7" s="576" t="s">
        <v>252</v>
      </c>
      <c r="B7" s="577">
        <f>N57</f>
        <v>9068.4</v>
      </c>
      <c r="C7" s="578">
        <f>B100</f>
        <v>10617.352941176472</v>
      </c>
      <c r="D7" s="579"/>
      <c r="E7" s="579">
        <f>E100</f>
        <v>0</v>
      </c>
      <c r="F7" s="580"/>
      <c r="G7" s="581"/>
      <c r="H7" s="579">
        <f>I100</f>
        <v>0</v>
      </c>
      <c r="I7" s="579">
        <f>G100+F100</f>
        <v>0</v>
      </c>
      <c r="J7" s="579">
        <f>H100+D100+C100</f>
        <v>51.35294117647058</v>
      </c>
      <c r="K7" s="579"/>
      <c r="L7" s="582"/>
      <c r="M7" s="583">
        <f>C7*$C$11+D7*$D$11+E7*$E$11+F7*$F$11+G7*$G$11+H7*$H$11+I7*$I$11+J7*$J$11</f>
        <v>2144.7052941176476</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14228.272567473632</v>
      </c>
      <c r="C9" s="594">
        <f t="shared" ref="C9:L9" si="0">SUM(C7:C8)</f>
        <v>10617.352941176472</v>
      </c>
      <c r="D9" s="594">
        <f t="shared" si="0"/>
        <v>0</v>
      </c>
      <c r="E9" s="594">
        <f t="shared" si="0"/>
        <v>0</v>
      </c>
      <c r="F9" s="594">
        <f t="shared" si="0"/>
        <v>0</v>
      </c>
      <c r="G9" s="594">
        <f t="shared" si="0"/>
        <v>0</v>
      </c>
      <c r="H9" s="594">
        <f t="shared" si="0"/>
        <v>0</v>
      </c>
      <c r="I9" s="594">
        <f t="shared" si="0"/>
        <v>0</v>
      </c>
      <c r="J9" s="594">
        <f t="shared" si="0"/>
        <v>51.35294117647058</v>
      </c>
      <c r="K9" s="594">
        <f t="shared" si="0"/>
        <v>0</v>
      </c>
      <c r="L9" s="594">
        <f t="shared" si="0"/>
        <v>0</v>
      </c>
      <c r="M9" s="595">
        <f>SUM(M4:M8)</f>
        <v>2144.7052941176476</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12954.857142857143</v>
      </c>
      <c r="C16" s="610">
        <f>B101</f>
        <v>15167.647058823532</v>
      </c>
      <c r="D16" s="611"/>
      <c r="E16" s="611">
        <f>E101</f>
        <v>0</v>
      </c>
      <c r="F16" s="612"/>
      <c r="G16" s="613"/>
      <c r="H16" s="610">
        <f>I101</f>
        <v>0</v>
      </c>
      <c r="I16" s="611">
        <f>G101+F101</f>
        <v>0</v>
      </c>
      <c r="J16" s="611">
        <f>H101+D101+C101</f>
        <v>73.361344537815114</v>
      </c>
      <c r="K16" s="611"/>
      <c r="L16" s="614"/>
      <c r="M16" s="615">
        <f>C16*$C$21+E16*$E$21+H16*$H$21+I16*$I$21+J16*$J$21+D16*$D$21+F16*$F$21+G16*$G$21+K16*$K$21+L16*$L$21</f>
        <v>3063.8647058823535</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12954.857142857143</v>
      </c>
      <c r="C19" s="593">
        <f>SUM(C16:C18)</f>
        <v>15167.647058823532</v>
      </c>
      <c r="D19" s="593">
        <f t="shared" ref="D19:M19" si="1">SUM(D16:D18)</f>
        <v>0</v>
      </c>
      <c r="E19" s="593">
        <f t="shared" si="1"/>
        <v>0</v>
      </c>
      <c r="F19" s="593">
        <f t="shared" si="1"/>
        <v>0</v>
      </c>
      <c r="G19" s="593">
        <f t="shared" si="1"/>
        <v>0</v>
      </c>
      <c r="H19" s="593">
        <f t="shared" si="1"/>
        <v>0</v>
      </c>
      <c r="I19" s="593">
        <f t="shared" si="1"/>
        <v>0</v>
      </c>
      <c r="J19" s="593">
        <f t="shared" si="1"/>
        <v>73.361344537815114</v>
      </c>
      <c r="K19" s="593">
        <f t="shared" si="1"/>
        <v>0</v>
      </c>
      <c r="L19" s="593">
        <f t="shared" si="1"/>
        <v>0</v>
      </c>
      <c r="M19" s="620">
        <f t="shared" si="1"/>
        <v>3063.8647058823535</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31012</v>
      </c>
      <c r="C27" s="851">
        <v>8490</v>
      </c>
      <c r="D27" s="672" t="s">
        <v>809</v>
      </c>
      <c r="E27" s="671" t="s">
        <v>810</v>
      </c>
      <c r="F27" s="671" t="s">
        <v>811</v>
      </c>
      <c r="G27" s="671" t="s">
        <v>812</v>
      </c>
      <c r="H27" s="671" t="s">
        <v>813</v>
      </c>
      <c r="I27" s="671" t="s">
        <v>810</v>
      </c>
      <c r="J27" s="850">
        <v>39995</v>
      </c>
      <c r="K27" s="850">
        <v>39995</v>
      </c>
      <c r="L27" s="671" t="s">
        <v>814</v>
      </c>
      <c r="M27" s="671">
        <v>2000</v>
      </c>
      <c r="N27" s="671">
        <v>9000</v>
      </c>
      <c r="O27" s="671">
        <v>12857.142857142857</v>
      </c>
      <c r="P27" s="671">
        <v>25714.285714285717</v>
      </c>
      <c r="Q27" s="671">
        <v>0</v>
      </c>
      <c r="R27" s="671">
        <v>0</v>
      </c>
      <c r="S27" s="671">
        <v>0</v>
      </c>
      <c r="T27" s="671">
        <v>0</v>
      </c>
      <c r="U27" s="671">
        <v>0</v>
      </c>
      <c r="V27" s="671">
        <v>0</v>
      </c>
      <c r="W27" s="671">
        <v>0</v>
      </c>
      <c r="X27" s="671">
        <v>10</v>
      </c>
      <c r="Y27" s="671" t="s">
        <v>112</v>
      </c>
      <c r="Z27" s="673" t="s">
        <v>112</v>
      </c>
    </row>
    <row r="28" spans="1:26" s="625" customFormat="1" ht="63.75">
      <c r="A28" s="624"/>
      <c r="B28" s="851">
        <v>31012</v>
      </c>
      <c r="C28" s="851">
        <v>8490</v>
      </c>
      <c r="D28" s="672" t="s">
        <v>815</v>
      </c>
      <c r="E28" s="671" t="s">
        <v>816</v>
      </c>
      <c r="F28" s="671" t="s">
        <v>817</v>
      </c>
      <c r="G28" s="671" t="s">
        <v>812</v>
      </c>
      <c r="H28" s="671" t="s">
        <v>813</v>
      </c>
      <c r="I28" s="671" t="s">
        <v>816</v>
      </c>
      <c r="J28" s="850">
        <v>40477</v>
      </c>
      <c r="K28" s="850">
        <v>40513</v>
      </c>
      <c r="L28" s="671" t="s">
        <v>814</v>
      </c>
      <c r="M28" s="671">
        <v>5.5</v>
      </c>
      <c r="N28" s="671">
        <v>24.75</v>
      </c>
      <c r="O28" s="671">
        <v>35.357142857142861</v>
      </c>
      <c r="P28" s="671">
        <v>70.714285714285722</v>
      </c>
      <c r="Q28" s="671">
        <v>0</v>
      </c>
      <c r="R28" s="671">
        <v>0</v>
      </c>
      <c r="S28" s="671">
        <v>0</v>
      </c>
      <c r="T28" s="671">
        <v>0</v>
      </c>
      <c r="U28" s="671">
        <v>0</v>
      </c>
      <c r="V28" s="671">
        <v>0</v>
      </c>
      <c r="W28" s="671">
        <v>0</v>
      </c>
      <c r="X28" s="671">
        <v>1600</v>
      </c>
      <c r="Y28" s="671" t="s">
        <v>50</v>
      </c>
      <c r="Z28" s="673" t="s">
        <v>156</v>
      </c>
    </row>
    <row r="29" spans="1:26" s="625" customFormat="1" ht="25.5">
      <c r="A29" s="624"/>
      <c r="B29" s="851">
        <v>31012</v>
      </c>
      <c r="C29" s="851">
        <v>8490</v>
      </c>
      <c r="D29" s="672" t="s">
        <v>818</v>
      </c>
      <c r="E29" s="671" t="s">
        <v>819</v>
      </c>
      <c r="F29" s="671" t="s">
        <v>820</v>
      </c>
      <c r="G29" s="671" t="s">
        <v>812</v>
      </c>
      <c r="H29" s="671" t="s">
        <v>813</v>
      </c>
      <c r="I29" s="671" t="s">
        <v>821</v>
      </c>
      <c r="J29" s="850">
        <v>41257</v>
      </c>
      <c r="K29" s="850">
        <v>41275</v>
      </c>
      <c r="L29" s="671" t="s">
        <v>814</v>
      </c>
      <c r="M29" s="671">
        <v>9.6999999999999993</v>
      </c>
      <c r="N29" s="671">
        <v>43.649999999999991</v>
      </c>
      <c r="O29" s="671">
        <v>62.357142857142847</v>
      </c>
      <c r="P29" s="671">
        <v>0</v>
      </c>
      <c r="Q29" s="671">
        <v>124.71428571428569</v>
      </c>
      <c r="R29" s="671">
        <v>0</v>
      </c>
      <c r="S29" s="671">
        <v>0</v>
      </c>
      <c r="T29" s="671">
        <v>0</v>
      </c>
      <c r="U29" s="671">
        <v>0</v>
      </c>
      <c r="V29" s="671">
        <v>0</v>
      </c>
      <c r="W29" s="671">
        <v>0</v>
      </c>
      <c r="X29" s="671">
        <v>10</v>
      </c>
      <c r="Y29" s="671" t="s">
        <v>112</v>
      </c>
      <c r="Z29" s="673" t="s">
        <v>112</v>
      </c>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2015.2</v>
      </c>
      <c r="N57" s="629">
        <f>SUM(N27:N56)</f>
        <v>9068.4</v>
      </c>
      <c r="O57" s="629">
        <f t="shared" ref="O57:W57" si="2">SUM(O27:O56)</f>
        <v>12954.857142857143</v>
      </c>
      <c r="P57" s="629">
        <f t="shared" si="2"/>
        <v>25785.000000000004</v>
      </c>
      <c r="Q57" s="629">
        <f t="shared" si="2"/>
        <v>124.71428571428569</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5.5</v>
      </c>
      <c r="N59" s="629">
        <f ca="1">SUMIF($Z$27:AB56,"tertiair",N27:N56)</f>
        <v>24.75</v>
      </c>
      <c r="O59" s="629">
        <f ca="1">SUMIF($Z$27:AC56,"tertiair",O27:O56)</f>
        <v>35.357142857142861</v>
      </c>
      <c r="P59" s="629">
        <f ca="1">SUMIF($Z$27:AD56,"tertiair",P27:P56)</f>
        <v>70.714285714285722</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2009.7</v>
      </c>
      <c r="N60" s="634">
        <f t="shared" ref="N60:W60" si="4">SUMIF($Z$27:$Z$56,"landbouw",N27:N56)</f>
        <v>9043.65</v>
      </c>
      <c r="O60" s="634">
        <f t="shared" si="4"/>
        <v>12919.5</v>
      </c>
      <c r="P60" s="634">
        <f t="shared" si="4"/>
        <v>25714.285714285717</v>
      </c>
      <c r="Q60" s="634">
        <f t="shared" si="4"/>
        <v>124.71428571428569</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10617.352941176472</v>
      </c>
      <c r="C100" s="663">
        <f t="shared" si="9"/>
        <v>51.35294117647058</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15167.647058823532</v>
      </c>
      <c r="C101" s="666">
        <f t="shared" ref="C101:H101" si="10">$B$97*Q57</f>
        <v>73.361344537815114</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2018-09-06T12:47:27Z</dcterms:modified>
</cp:coreProperties>
</file>