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B8" i="9"/>
  <c r="C13" i="15"/>
  <c r="C16" s="1"/>
  <c r="D10" i="14" s="1"/>
  <c r="L6" i="17"/>
  <c r="L5" s="1"/>
  <c r="L16" i="16"/>
  <c r="L18"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Q13" i="14" l="1"/>
  <c r="B35" i="13"/>
  <c r="J15" i="14"/>
  <c r="P8" i="48"/>
  <c r="P25" s="1"/>
  <c r="D18" i="16"/>
  <c r="D22" s="1"/>
  <c r="E39" i="14" s="1"/>
  <c r="G31" i="20"/>
  <c r="H43" i="14" s="1"/>
  <c r="G12" i="22"/>
  <c r="D16" i="15"/>
  <c r="D20" s="1"/>
  <c r="K22" i="14"/>
  <c r="E8" i="17"/>
  <c r="F22" i="14" s="1"/>
  <c r="O18" i="16"/>
  <c r="O22" s="1"/>
  <c r="P39" i="14" s="1"/>
  <c r="B36" i="13"/>
  <c r="B48" s="1"/>
  <c r="C48" s="1"/>
  <c r="N5" s="1"/>
  <c r="N8" s="1"/>
  <c r="N4" i="48" s="1"/>
  <c r="N21" s="1"/>
  <c r="H13"/>
  <c r="H30" s="1"/>
  <c r="H12" i="22"/>
  <c r="B34" i="13"/>
  <c r="N8" i="17"/>
  <c r="N12" s="1"/>
  <c r="O48" i="14" s="1"/>
  <c r="L8" i="17"/>
  <c r="L12" s="1"/>
  <c r="M48" i="14" s="1"/>
  <c r="M50" i="22"/>
  <c r="M54" s="1"/>
  <c r="M10" i="48" s="1"/>
  <c r="M27" s="1"/>
  <c r="G51" i="22"/>
  <c r="G50" s="1"/>
  <c r="G54" s="1"/>
  <c r="H18" i="14" s="1"/>
  <c r="P13"/>
  <c r="E22"/>
  <c r="O8" i="48"/>
  <c r="O25" s="1"/>
  <c r="B9"/>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I14" i="48"/>
  <c r="E5" i="15"/>
  <c r="O20"/>
  <c r="P36" i="14" s="1"/>
  <c r="P10"/>
  <c r="P20" i="15"/>
  <c r="Q36" i="14" s="1"/>
  <c r="Q41" s="1"/>
  <c r="Q53" s="1"/>
  <c r="Q10"/>
  <c r="Q15" s="1"/>
  <c r="Q23" s="1"/>
  <c r="J5" i="15"/>
  <c r="F4" i="48"/>
  <c r="F21" s="1"/>
  <c r="B69" i="14"/>
  <c r="B4" i="6" s="1"/>
  <c r="J23" i="14"/>
  <c r="L53"/>
  <c r="F5" i="15"/>
  <c r="F16" s="1"/>
  <c r="B5"/>
  <c r="B16" s="1"/>
  <c r="E13" i="14"/>
  <c r="B5" i="16"/>
  <c r="B18" s="1"/>
  <c r="C13" i="14" s="1"/>
  <c r="N5" i="15"/>
  <c r="N16" s="1"/>
  <c r="F12" i="13"/>
  <c r="G37" i="14" s="1"/>
  <c r="P5" i="48"/>
  <c r="P22" s="1"/>
  <c r="F13" i="16"/>
  <c r="E13"/>
  <c r="N13"/>
  <c r="J13"/>
  <c r="B47" i="13"/>
  <c r="N12" i="16"/>
  <c r="J12"/>
  <c r="F12"/>
  <c r="E12"/>
  <c r="Q11" i="48"/>
  <c r="O5"/>
  <c r="R9" i="14"/>
  <c r="O28" i="48"/>
  <c r="H22"/>
  <c r="B46" i="13"/>
  <c r="E5" s="1"/>
  <c r="E8" s="1"/>
  <c r="E12" s="1"/>
  <c r="F37" i="14" s="1"/>
  <c r="K31" i="48"/>
  <c r="L26"/>
  <c r="M29"/>
  <c r="M25"/>
  <c r="M24"/>
  <c r="I31"/>
  <c r="C50" i="13"/>
  <c r="J5" s="1"/>
  <c r="J8" s="1"/>
  <c r="C5" i="48"/>
  <c r="P31" l="1"/>
  <c r="E7"/>
  <c r="E24" s="1"/>
  <c r="E12" i="17"/>
  <c r="F48" i="14" s="1"/>
  <c r="J16" i="15"/>
  <c r="K10" i="14" s="1"/>
  <c r="E16" i="15"/>
  <c r="F10" i="14" s="1"/>
  <c r="D8" i="48"/>
  <c r="D25" s="1"/>
  <c r="P41" i="14"/>
  <c r="P53" s="1"/>
  <c r="O22"/>
  <c r="L7" i="48"/>
  <c r="L24" s="1"/>
  <c r="M22" i="14"/>
  <c r="P15"/>
  <c r="P23" s="1"/>
  <c r="P55"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J5" i="48" l="1"/>
  <c r="J22" s="1"/>
  <c r="J20" i="15"/>
  <c r="K36" i="14" s="1"/>
  <c r="D31" i="48"/>
  <c r="E5"/>
  <c r="E22" s="1"/>
  <c r="N18" i="16"/>
  <c r="N8" i="48" s="1"/>
  <c r="L31"/>
  <c r="N20" i="14"/>
  <c r="N23" s="1"/>
  <c r="E20" i="15"/>
  <c r="F36" i="14" s="1"/>
  <c r="F18" i="16"/>
  <c r="G13" i="14" s="1"/>
  <c r="G15" s="1"/>
  <c r="G23" s="1"/>
  <c r="J18" i="16"/>
  <c r="K13" i="14" s="1"/>
  <c r="K15" s="1"/>
  <c r="K23" s="1"/>
  <c r="J9" i="18"/>
  <c r="M7"/>
  <c r="M9" s="1"/>
  <c r="M16"/>
  <c r="M19" s="1"/>
  <c r="E18" i="16"/>
  <c r="E22" s="1"/>
  <c r="F39" i="14" s="1"/>
  <c r="F41" s="1"/>
  <c r="F53"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4" i="48"/>
  <c r="N22"/>
  <c r="R11" i="14"/>
  <c r="J21" i="48"/>
  <c r="R10" i="14"/>
  <c r="Q5" i="48" l="1"/>
  <c r="O13" i="14"/>
  <c r="O15" s="1"/>
  <c r="F22" i="16"/>
  <c r="G39" i="14" s="1"/>
  <c r="G41" s="1"/>
  <c r="G53" s="1"/>
  <c r="G55" s="1"/>
  <c r="O69" s="1"/>
  <c r="B9" i="6" s="1"/>
  <c r="B12" s="1"/>
  <c r="F8" i="48"/>
  <c r="N22" i="16"/>
  <c r="O39" i="14" s="1"/>
  <c r="O41" s="1"/>
  <c r="O53" s="1"/>
  <c r="E8" i="48"/>
  <c r="E25" s="1"/>
  <c r="E31" s="1"/>
  <c r="F13" i="14"/>
  <c r="F15" s="1"/>
  <c r="F23" s="1"/>
  <c r="F55" s="1"/>
  <c r="J22" i="16"/>
  <c r="K39" i="14" s="1"/>
  <c r="K41" s="1"/>
  <c r="K53" s="1"/>
  <c r="K55" s="1"/>
  <c r="J8" i="48"/>
  <c r="J25" s="1"/>
  <c r="J31" s="1"/>
  <c r="E14"/>
  <c r="N25"/>
  <c r="N31" s="1"/>
  <c r="N14"/>
  <c r="N55" i="14"/>
  <c r="H55"/>
  <c r="E55"/>
  <c r="C78"/>
  <c r="C81" s="1"/>
  <c r="J14" i="48"/>
  <c r="R19" i="14"/>
  <c r="R20" s="1"/>
  <c r="H14" i="48"/>
  <c r="G31"/>
  <c r="H26"/>
  <c r="H31" s="1"/>
  <c r="M53" i="14"/>
  <c r="M55" s="1"/>
  <c r="C12" i="13"/>
  <c r="D37" i="14" s="1"/>
  <c r="D41" s="1"/>
  <c r="C23" i="48"/>
  <c r="C24"/>
  <c r="C27"/>
  <c r="C28"/>
  <c r="C22"/>
  <c r="C25"/>
  <c r="C29"/>
  <c r="C21"/>
  <c r="C26"/>
  <c r="R13" i="14"/>
  <c r="R15" s="1"/>
  <c r="F25" i="48"/>
  <c r="F31" s="1"/>
  <c r="F14"/>
  <c r="Q8" l="1"/>
  <c r="Q14" s="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<sst xmlns="http://schemas.openxmlformats.org/spreadsheetml/2006/main" count="1914" uniqueCount="809">
  <si>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</si>
  <si>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</si>
  <si>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</si>
  <si>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</si>
  <si>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</si>
  <si>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</si>
  <si>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</si>
  <si>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</si>
  <si>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</si>
  <si>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</si>
  <si>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</si>
  <si>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</si>
  <si>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</si>
  <si>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</si>
  <si>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</si>
  <si>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</si>
  <si>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</si>
  <si>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</si>
  <si>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</si>
  <si>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</si>
  <si>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</si>
  <si>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</si>
  <si>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</si>
  <si>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</si>
  <si>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</si>
  <si>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</si>
  <si>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</si>
  <si>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</si>
  <si>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</si>
  <si>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</si>
  <si>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</si>
  <si>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</si>
  <si>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</si>
  <si>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</si>
  <si>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</si>
  <si>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</si>
  <si>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</si>
  <si>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</si>
  <si>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</si>
  <si>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</si>
  <si>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</si>
  <si>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</si>
  <si>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</si>
  <si>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</si>
  <si>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</si>
  <si>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</si>
  <si>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</si>
  <si>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</si>
  <si>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</si>
  <si>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</si>
  <si>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</si>
  <si>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</si>
  <si>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</si>
  <si>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</si>
  <si>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</si>
  <si>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</si>
  <si>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</si>
  <si>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</si>
  <si>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</si>
  <si>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</si>
  <si>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</si>
  <si>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</si>
  <si>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</si>
  <si>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</si>
  <si>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</si>
  <si>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</si>
  <si>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</si>
  <si>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</si>
  <si>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</si>
  <si>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</si>
  <si>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</si>
  <si>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</si>
  <si>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</si>
  <si>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</si>
  <si>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</si>
  <si>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</si>
  <si>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</si>
  <si>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</si>
  <si>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</si>
  <si>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</si>
  <si>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</si>
  <si>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</si>
  <si>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</si>
  <si>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</si>
  <si>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</si>
  <si>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</si>
  <si>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</si>
  <si>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</si>
  <si>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</si>
  <si>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</si>
  <si>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</si>
  <si>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</si>
  <si>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</si>
  <si>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</si>
  <si>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</si>
  <si>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</si>
  <si>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</si>
  <si>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</si>
  <si>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</si>
  <si>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</si>
  <si>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</si>
  <si>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</si>
  <si>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</si>
  <si>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</si>
  <si>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</si>
  <si>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</si>
  <si>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</si>
  <si>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</si>
  <si>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</si>
  <si>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</si>
  <si>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</si>
  <si>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</si>
  <si>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</si>
  <si>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</si>
  <si>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</si>
  <si>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</si>
  <si>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</si>
  <si>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</si>
  <si>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</si>
  <si>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</si>
  <si>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</si>
  <si>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</si>
  <si>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</si>
  <si>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</si>
  <si>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</si>
  <si>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</si>
  <si>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</si>
  <si>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</si>
  <si>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</si>
  <si>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</si>
  <si>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</si>
  <si>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</si>
  <si>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</si>
  <si>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</si>
  <si>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</si>
  <si>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</si>
  <si>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</si>
  <si>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</si>
  <si>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</si>
  <si>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</si>
  <si>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</si>
  <si>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</si>
  <si>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</si>
  <si>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</si>
  <si>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</si>
  <si>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</si>
  <si>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</si>
  <si>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</si>
  <si>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</si>
  <si>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</si>
  <si>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</si>
  <si>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</si>
  <si>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</si>
  <si>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</si>
  <si>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</si>
  <si>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</si>
  <si>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</si>
  <si>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</si>
  <si>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</si>
  <si>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</si>
  <si>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</si>
  <si>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</si>
  <si>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</si>
  <si>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</si>
  <si>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</si>
  <si>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</si>
  <si>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</si>
  <si>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</si>
  <si>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</si>
  <si>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</si>
  <si>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</si>
  <si>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</si>
  <si>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</si>
  <si>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</si>
  <si>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</si>
  <si>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</si>
  <si>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</si>
  <si>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</si>
  <si>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</si>
  <si>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</si>
  <si>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</si>
  <si>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</si>
  <si>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</si>
  <si>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</si>
  <si>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</si>
  <si>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</si>
  <si>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</si>
  <si>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</si>
  <si>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</si>
  <si>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</si>
  <si>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</si>
  <si>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</si>
  <si>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</si>
  <si>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</si>
  <si>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</si>
  <si>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</si>
  <si>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</si>
  <si>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</si>
  <si>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</si>
  <si>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</si>
  <si>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</si>
  <si>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</si>
  <si>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</si>
  <si>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</si>
  <si>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</si>
  <si>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</si>
  <si>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</si>
  <si>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</si>
  <si>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</si>
  <si>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</si>
  <si>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</si>
  <si>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</si>
  <si>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</si>
  <si>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</si>
  <si>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</si>
  <si>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</si>
  <si>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</si>
  <si>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</si>
  <si>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</si>
  <si>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</si>
  <si>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</si>
  <si>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</si>
  <si>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</si>
  <si>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</si>
  <si>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</si>
  <si>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</si>
  <si>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</si>
  <si>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</si>
  <si>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</si>
  <si>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</si>
  <si>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</si>
  <si>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</si>
  <si>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</si>
  <si>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</si>
  <si>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</si>
  <si>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</si>
  <si>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</si>
  <si>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</si>
  <si>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</si>
  <si>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</si>
  <si>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</si>
  <si>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</si>
  <si>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</si>
  <si>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</si>
  <si>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</si>
  <si>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</si>
  <si>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</si>
  <si>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</si>
  <si>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</si>
  <si>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</si>
  <si>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</si>
  <si>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</si>
  <si>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</si>
  <si>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</si>
  <si>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</si>
  <si>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</si>
  <si>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</si>
  <si>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</si>
  <si>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</si>
  <si>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</si>
  <si>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</si>
  <si>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</si>
  <si>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</si>
  <si>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</si>
  <si>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</si>
  <si>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</si>
  <si>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</si>
  <si>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</si>
  <si>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</si>
  <si>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</si>
  <si>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</si>
  <si>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</si>
  <si>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</si>
  <si>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</si>
  <si>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</si>
  <si>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</si>
  <si>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</si>
  <si>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</si>
  <si>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</si>
  <si>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</si>
  <si>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</si>
  <si>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</si>
  <si>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</si>
  <si>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</si>
  <si>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</si>
  <si>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</si>
  <si>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</si>
  <si>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</si>
  <si>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</si>
  <si>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</si>
  <si>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</si>
  <si>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</si>
  <si>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</si>
  <si>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</si>
  <si>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</si>
  <si>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</si>
  <si>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</si>
  <si>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</si>
  <si>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</si>
  <si>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</si>
  <si>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</si>
  <si>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</si>
  <si>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</si>
  <si>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</si>
  <si>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</si>
  <si>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</si>
  <si>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</si>
  <si>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</si>
  <si>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</si>
  <si>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</si>
  <si>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</si>
  <si>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</si>
  <si>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</si>
  <si>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</si>
  <si>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</si>
  <si>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</si>
  <si>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</si>
  <si>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</si>
  <si>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</si>
  <si>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</si>
  <si>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</si>
  <si>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</si>
  <si>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</si>
  <si>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</si>
  <si>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</si>
  <si>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</si>
  <si>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</si>
  <si>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</si>
  <si>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</si>
  <si>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</si>
  <si>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</si>
  <si>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</si>
  <si>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</si>
  <si>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</si>
  <si>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</si>
  <si>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</si>
  <si>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</si>
  <si>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</si>
  <si>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</si>
  <si>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</si>
  <si>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</si>
  <si>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</si>
  <si>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</si>
  <si>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</si>
  <si>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</si>
  <si>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</si>
  <si>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</si>
  <si>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</si>
  <si>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</si>
  <si>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</si>
  <si>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</si>
  <si>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</si>
  <si>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</si>
  <si>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</si>
  <si>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</si>
  <si>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</si>
  <si>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</si>
  <si>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</si>
  <si>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</si>
  <si>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</si>
  <si>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</si>
  <si>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</si>
  <si>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</si>
  <si>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</si>
  <si>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</si>
  <si>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</si>
  <si>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</si>
  <si>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</si>
  <si>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</si>
  <si>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</si>
  <si>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</si>
  <si>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</si>
  <si>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</si>
  <si>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</si>
  <si>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</si>
  <si>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</si>
  <si>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</si>
  <si>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</si>
  <si>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</si>
  <si>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</si>
  <si>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</si>
  <si>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</si>
  <si>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</si>
  <si>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</si>
  <si>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</si>
  <si>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</si>
  <si>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</si>
  <si>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</si>
  <si>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</si>
  <si>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</si>
  <si>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</si>
  <si>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</si>
  <si>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</si>
  <si>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</si>
  <si>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</si>
  <si>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</si>
  <si>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</si>
  <si>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</si>
  <si>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</si>
  <si>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</si>
  <si>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</si>
  <si>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</si>
  <si>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</si>
  <si>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</si>
  <si>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</si>
  <si>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</si>
  <si>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</si>
  <si>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</si>
  <si>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</si>
  <si>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</si>
  <si>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</si>
  <si>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</si>
  <si>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</si>
  <si>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</si>
  <si>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</si>
  <si>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</si>
  <si>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</si>
  <si>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</si>
  <si>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</si>
  <si>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</si>
  <si>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</si>
  <si>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</si>
  <si>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</si>
  <si>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</si>
  <si>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</si>
  <si>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</si>
  <si>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</si>
  <si>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</si>
  <si>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</si>
  <si>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</si>
  <si>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</si>
  <si>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</si>
  <si>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</si>
  <si>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</si>
  <si>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</si>
  <si>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</si>
  <si>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</si>
  <si>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</si>
  <si>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</si>
  <si>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</si>
  <si>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</si>
  <si>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</si>
  <si>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</si>
  <si>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</si>
  <si>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</si>
  <si>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</si>
  <si>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</si>
  <si>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</si>
  <si>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</si>
  <si>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</si>
  <si>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</si>
  <si>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</si>
  <si>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</si>
  <si>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</si>
  <si>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</si>
  <si>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</si>
  <si>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</si>
  <si>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</si>
  <si>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</si>
  <si>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</si>
  <si>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</si>
  <si>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</si>
  <si>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</si>
  <si>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</si>
  <si>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</si>
  <si>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</si>
  <si>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</si>
  <si>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</si>
  <si>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</si>
  <si>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</si>
  <si>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</si>
  <si>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</si>
  <si>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</si>
  <si>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</si>
  <si>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</si>
  <si>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</si>
  <si>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</si>
  <si>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</si>
  <si>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</si>
  <si>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</si>
  <si>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</si>
  <si>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</si>
  <si>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</si>
  <si>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</si>
  <si>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</si>
  <si>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</si>
  <si>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</si>
  <si>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</si>
  <si>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</si>
  <si>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</si>
  <si>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</si>
  <si>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</si>
  <si>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</si>
  <si>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</si>
  <si>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</si>
  <si>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</si>
  <si>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</si>
  <si>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</si>
  <si>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</si>
  <si>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</si>
  <si>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</si>
  <si>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</si>
  <si>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</si>
  <si>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</si>
  <si>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</si>
  <si>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</si>
  <si>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</si>
  <si>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</si>
  <si>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</si>
  <si>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</si>
  <si>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</si>
  <si>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</si>
  <si>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</si>
  <si>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</si>
  <si>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</si>
  <si>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</si>
  <si>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</si>
  <si>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</si>
  <si>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</si>
  <si>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</si>
  <si>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</si>
  <si>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</si>
  <si>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</si>
  <si>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</si>
  <si>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</si>
  <si>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</si>
  <si>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</si>
  <si>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</si>
  <si>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</si>
  <si>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</si>
  <si>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</si>
  <si>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</si>
  <si>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</si>
  <si>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</si>
  <si>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</si>
  <si>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</si>
  <si>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</si>
  <si>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</si>
  <si>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</si>
  <si>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</si>
  <si>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</si>
  <si>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</si>
  <si>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</si>
  <si>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</si>
  <si>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</si>
  <si>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</si>
  <si>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</si>
  <si>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</si>
  <si>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</si>
  <si>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</si>
  <si>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</si>
  <si>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</si>
  <si>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</si>
  <si>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</si>
  <si>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</si>
  <si>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</si>
  <si>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</si>
  <si>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</si>
  <si>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</si>
  <si>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</si>
  <si>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</si>
  <si>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</si>
  <si>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</si>
  <si>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</si>
  <si>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</si>
  <si>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</si>
  <si>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</si>
  <si>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</si>
  <si>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</si>
  <si>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</si>
  <si>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</si>
  <si>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</si>
  <si>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</si>
  <si>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</si>
  <si>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</si>
  <si>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</si>
  <si>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</si>
  <si>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</si>
  <si>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</si>
  <si>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</si>
  <si>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</si>
  <si>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</si>
  <si>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</si>
  <si>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</si>
  <si>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</si>
  <si>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</si>
  <si>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</si>
  <si>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</si>
  <si>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</si>
  <si>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</si>
  <si>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</si>
  <si>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</si>
  <si>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</si>
  <si>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</si>
  <si>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</si>
  <si>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</si>
  <si>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</si>
  <si>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</si>
  <si>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</si>
  <si>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</si>
  <si>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</si>
  <si>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</si>
  <si>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</si>
  <si>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</si>
  <si>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</si>
  <si>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</si>
  <si>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</si>
  <si>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</si>
  <si>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</si>
  <si>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</si>
  <si>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</si>
  <si>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</si>
  <si>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</si>
  <si>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</si>
  <si>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</si>
  <si>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</si>
  <si>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</si>
  <si>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</si>
  <si>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</si>
  <si>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</si>
  <si>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</si>
  <si>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</si>
  <si>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</si>
  <si>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</si>
  <si>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</si>
  <si>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</si>
  <si>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</si>
  <si>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</si>
  <si>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</si>
  <si>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</si>
  <si>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</si>
  <si>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</si>
  <si>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</si>
  <si>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</si>
  <si>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</si>
  <si>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</si>
  <si>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</si>
  <si>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</si>
  <si>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</si>
  <si>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</si>
  <si>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</si>
  <si>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</si>
  <si>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</si>
  <si>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</si>
  <si>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</si>
  <si>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</si>
  <si>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</si>
  <si>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</si>
  <si>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</si>
  <si>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</si>
  <si>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</si>
  <si>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</si>
  <si>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</si>
  <si>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</si>
  <si>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</si>
  <si>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</si>
  <si>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</si>
  <si>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</si>
  <si>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</si>
  <si>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</si>
  <si>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</si>
  <si>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</si>
  <si>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</si>
  <si>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</si>
  <si>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</si>
  <si>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</si>
  <si>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</si>
  <si>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</si>
  <si>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</si>
  <si>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</si>
  <si>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</si>
  <si>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</si>
  <si>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</si>
  <si>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</si>
  <si>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</si>
  <si>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</si>
  <si>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</si>
  <si>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</si>
  <si>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</si>
  <si>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</si>
  <si>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</si>
  <si>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</si>
  <si>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</si>
  <si>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</si>
  <si>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</si>
  <si>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</si>
  <si>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</si>
  <si>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</si>
  <si>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</si>
  <si>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</si>
  <si>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</si>
  <si>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</si>
  <si>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</si>
  <si>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</si>
  <si>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</si>
  <si>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</si>
  <si>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</si>
  <si>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</si>
  <si>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</si>
  <si>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</si>
  <si>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</si>
  <si>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</si>
  <si>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</si>
  <si>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</si>
  <si>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</si>
  <si>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</si>
  <si>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</si>
  <si>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</si>
  <si>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</si>
  <si>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</si>
  <si>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</si>
  <si>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</si>
  <si>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</si>
  <si>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</si>
  <si>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</si>
  <si>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</si>
  <si>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</si>
  <si>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</si>
  <si>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</si>
  <si>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</si>
  <si>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</si>
  <si>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</si>
  <si>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</si>
  <si>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</si>
  <si>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</si>
  <si>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</si>
  <si>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</si>
  <si>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</si>
  <si>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</si>
  <si>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</si>
  <si>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</si>
  <si>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</si>
  <si>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</si>
  <si>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</si>
  <si>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</si>
  <si>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</si>
  <si>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</si>
  <si>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</si>
  <si>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</si>
  <si>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</si>
  <si>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</si>
  <si>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</si>
  <si>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</si>
  <si>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</si>
  <si>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</si>
  <si>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</si>
  <si>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</si>
  <si>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</si>
  <si>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</si>
  <si>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</si>
  <si>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</si>
  <si>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</si>
  <si>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</si>
  <si>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</si>
  <si>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</si>
  <si>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</si>
  <si>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</si>
  <si>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</si>
  <si>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</si>
  <si>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</si>
  <si>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</si>
  <si>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</si>
  <si>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</si>
  <si>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</si>
  <si>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</si>
  <si>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</si>
  <si>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</si>
  <si>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</si>
  <si>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</si>
  <si>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</si>
  <si>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</si>
  <si>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</si>
  <si>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</si>
  <si>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</si>
  <si>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</si>
  <si>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</si>
  <si>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</si>
  <si>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</si>
  <si>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</si>
  <si>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</si>
  <si>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</si>
  <si>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</si>
  <si>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</si>
  <si>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</si>
  <si>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</si>
  <si>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</si>
  <si>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</si>
  <si>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</si>
  <si>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</si>
  <si>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</si>
  <si>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</si>
  <si>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</si>
  <si>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</si>
  <si>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</si>
  <si>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</si>
  <si>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</si>
  <si>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</si>
  <si>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</si>
  <si>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</si>
  <si>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</si>
  <si>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</si>
  <si>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31006</t>
  </si>
  <si>
    <t>DAMME</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</si>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</sst>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102286.31610910266</c:v>
                </c:pt>
                <c:pt idx="1">
                  <c:v>31636.663356627334</c:v>
                </c:pt>
                <c:pt idx="2">
                  <c:v>906.077</c:v>
                </c:pt>
                <c:pt idx="3">
                  <c:v>20001.527305341875</c:v>
                </c:pt>
                <c:pt idx="4">
                  <c:v>7636.0135616078915</c:v>
                </c:pt>
                <c:pt idx="5">
                  <c:v>151624.39839594791</c:v>
                </c:pt>
                <c:pt idx="6">
                  <c:v>1439.9000835169306</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607232"/>
        <c:axId val="182670464"/>
      </c:barChart>
      <c:catAx>
        <c:axId val="182607232"/>
        <c:scaling>
          <c:orientation val="minMax"/>
        </c:scaling>
        <c:axPos val="b"/>
        <c:numFmt formatCode="General" sourceLinked="0"/>
        <c:tickLblPos val="nextTo"/>
        <c:crossAx val="182670464"/>
        <c:crosses val="autoZero"/>
        <c:auto val="1"/>
        <c:lblAlgn val="ctr"/>
        <c:lblOffset val="100"/>
      </c:catAx>
      <c:valAx>
        <c:axId val="182670464"/>
        <c:scaling>
          <c:orientation val="minMax"/>
        </c:scaling>
        <c:axPos val="l"/>
        <c:majorGridlines/>
        <c:numFmt formatCode="#,##0" sourceLinked="1"/>
        <c:tickLblPos val="nextTo"/>
        <c:crossAx val="18260723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102286.31610910266</c:v>
                </c:pt>
                <c:pt idx="1">
                  <c:v>31636.663356627334</c:v>
                </c:pt>
                <c:pt idx="2">
                  <c:v>906.077</c:v>
                </c:pt>
                <c:pt idx="3">
                  <c:v>20001.527305341875</c:v>
                </c:pt>
                <c:pt idx="4">
                  <c:v>7636.0135616078915</c:v>
                </c:pt>
                <c:pt idx="5">
                  <c:v>151624.39839594791</c:v>
                </c:pt>
                <c:pt idx="6">
                  <c:v>1439.9000835169306</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18057.957904639607</c:v>
                </c:pt>
                <c:pt idx="1">
                  <c:v>6307.2775738911132</c:v>
                </c:pt>
                <c:pt idx="2">
                  <c:v>183.53914905727646</c:v>
                </c:pt>
                <c:pt idx="3">
                  <c:v>4951.07746427444</c:v>
                </c:pt>
                <c:pt idx="4">
                  <c:v>1507.8183181791851</c:v>
                </c:pt>
                <c:pt idx="5">
                  <c:v>37961.977222541034</c:v>
                </c:pt>
                <c:pt idx="6">
                  <c:v>363.7915672640824</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122176"/>
        <c:axId val="183201792"/>
      </c:barChart>
      <c:catAx>
        <c:axId val="183122176"/>
        <c:scaling>
          <c:orientation val="minMax"/>
        </c:scaling>
        <c:axPos val="b"/>
        <c:numFmt formatCode="General" sourceLinked="0"/>
        <c:tickLblPos val="nextTo"/>
        <c:crossAx val="183201792"/>
        <c:crosses val="autoZero"/>
        <c:auto val="1"/>
        <c:lblAlgn val="ctr"/>
        <c:lblOffset val="100"/>
      </c:catAx>
      <c:valAx>
        <c:axId val="183201792"/>
        <c:scaling>
          <c:orientation val="minMax"/>
        </c:scaling>
        <c:axPos val="l"/>
        <c:majorGridlines/>
        <c:numFmt formatCode="#,##0" sourceLinked="1"/>
        <c:tickLblPos val="nextTo"/>
        <c:crossAx val="18312217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18057.957904639607</c:v>
                </c:pt>
                <c:pt idx="1">
                  <c:v>6307.2775738911132</c:v>
                </c:pt>
                <c:pt idx="2">
                  <c:v>183.53914905727646</c:v>
                </c:pt>
                <c:pt idx="3">
                  <c:v>4951.07746427444</c:v>
                </c:pt>
                <c:pt idx="4">
                  <c:v>1507.8183181791851</c:v>
                </c:pt>
                <c:pt idx="5">
                  <c:v>37961.977222541034</c:v>
                </c:pt>
                <c:pt idx="6">
                  <c:v>363.7915672640824</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31006</v>
      </c>
      <c r="B6" s="415"/>
      <c r="C6" s="416"/>
    </row>
    <row r="7" spans="1:7" s="413" customFormat="1" ht="15.75" customHeight="1">
      <c r="A7" s="417" t="str">
        <f>txtMunicipality</f>
        <v>DAMME</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13791.948976308742</v>
      </c>
      <c r="D10" s="718">
        <f ca="1">tertiair!C16</f>
        <v>0</v>
      </c>
      <c r="E10" s="718">
        <f ca="1">tertiair!D16</f>
        <v>15228.813677868497</v>
      </c>
      <c r="F10" s="718">
        <f>tertiair!E16</f>
        <v>182.24758193892583</v>
      </c>
      <c r="G10" s="718">
        <f ca="1">tertiair!F16</f>
        <v>2170.2439261656723</v>
      </c>
      <c r="H10" s="718">
        <f>tertiair!G16</f>
        <v>0</v>
      </c>
      <c r="I10" s="718">
        <f>tertiair!H16</f>
        <v>0</v>
      </c>
      <c r="J10" s="718">
        <f>tertiair!I16</f>
        <v>0</v>
      </c>
      <c r="K10" s="718">
        <f>tertiair!J16</f>
        <v>2.8355833905795741E-2</v>
      </c>
      <c r="L10" s="718">
        <f>tertiair!K16</f>
        <v>0</v>
      </c>
      <c r="M10" s="718">
        <f ca="1">tertiair!L16</f>
        <v>0</v>
      </c>
      <c r="N10" s="718">
        <f>tertiair!M16</f>
        <v>0</v>
      </c>
      <c r="O10" s="718">
        <f ca="1">tertiair!N16</f>
        <v>1128.1978385115867</v>
      </c>
      <c r="P10" s="718">
        <f>tertiair!O16</f>
        <v>3.1266666666666669</v>
      </c>
      <c r="Q10" s="719">
        <f>tertiair!P16</f>
        <v>38.133333333333333</v>
      </c>
      <c r="R10" s="721">
        <f ca="1">SUM(C10:Q10)</f>
        <v>32542.740356627335</v>
      </c>
      <c r="S10" s="67"/>
    </row>
    <row r="11" spans="1:19" s="474" customFormat="1">
      <c r="A11" s="870" t="s">
        <v>225</v>
      </c>
      <c r="B11" s="875"/>
      <c r="C11" s="718">
        <f>huishoudens!B8</f>
        <v>20968.925678907442</v>
      </c>
      <c r="D11" s="718">
        <f>huishoudens!C8</f>
        <v>0</v>
      </c>
      <c r="E11" s="718">
        <f>huishoudens!D8</f>
        <v>42684.583672067238</v>
      </c>
      <c r="F11" s="718">
        <f>huishoudens!E8</f>
        <v>8171.835665017602</v>
      </c>
      <c r="G11" s="718">
        <f>huishoudens!F8</f>
        <v>11137.140913170606</v>
      </c>
      <c r="H11" s="718">
        <f>huishoudens!G8</f>
        <v>0</v>
      </c>
      <c r="I11" s="718">
        <f>huishoudens!H8</f>
        <v>0</v>
      </c>
      <c r="J11" s="718">
        <f>huishoudens!I8</f>
        <v>0</v>
      </c>
      <c r="K11" s="718">
        <f>huishoudens!J8</f>
        <v>1015.4974166652194</v>
      </c>
      <c r="L11" s="718">
        <f>huishoudens!K8</f>
        <v>0</v>
      </c>
      <c r="M11" s="718">
        <f>huishoudens!L8</f>
        <v>0</v>
      </c>
      <c r="N11" s="718">
        <f>huishoudens!M8</f>
        <v>0</v>
      </c>
      <c r="O11" s="718">
        <f>huishoudens!N8</f>
        <v>17374.926096607887</v>
      </c>
      <c r="P11" s="718">
        <f>huishoudens!O8</f>
        <v>247.00666666666669</v>
      </c>
      <c r="Q11" s="719">
        <f>huishoudens!P8</f>
        <v>686.4</v>
      </c>
      <c r="R11" s="721">
        <f>SUM(C11:Q11)</f>
        <v>102286.31610910266</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2747.440197539991</v>
      </c>
      <c r="D13" s="718">
        <f>industrie!C18</f>
        <v>0</v>
      </c>
      <c r="E13" s="718">
        <f>industrie!D18</f>
        <v>2136.7078605952893</v>
      </c>
      <c r="F13" s="718">
        <f>industrie!E18</f>
        <v>523.92996534065344</v>
      </c>
      <c r="G13" s="718">
        <f>industrie!F18</f>
        <v>1497.2540633858757</v>
      </c>
      <c r="H13" s="718">
        <f>industrie!G18</f>
        <v>0</v>
      </c>
      <c r="I13" s="718">
        <f>industrie!H18</f>
        <v>0</v>
      </c>
      <c r="J13" s="718">
        <f>industrie!I18</f>
        <v>0</v>
      </c>
      <c r="K13" s="718">
        <f>industrie!J18</f>
        <v>2.7406664451934697</v>
      </c>
      <c r="L13" s="718">
        <f>industrie!K18</f>
        <v>0</v>
      </c>
      <c r="M13" s="718">
        <f>industrie!L18</f>
        <v>0</v>
      </c>
      <c r="N13" s="718">
        <f>industrie!M18</f>
        <v>0</v>
      </c>
      <c r="O13" s="718">
        <f>industrie!N18</f>
        <v>727.94080830088728</v>
      </c>
      <c r="P13" s="718">
        <f>industrie!O18</f>
        <v>0</v>
      </c>
      <c r="Q13" s="719">
        <f>industrie!P18</f>
        <v>0</v>
      </c>
      <c r="R13" s="721">
        <f>SUM(C13:Q13)</f>
        <v>7636.0135616078915</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37508.314852756172</v>
      </c>
      <c r="D15" s="723">
        <f t="shared" ref="D15:Q15" ca="1" si="0">SUM(D9:D14)</f>
        <v>0</v>
      </c>
      <c r="E15" s="723">
        <f t="shared" ca="1" si="0"/>
        <v>60050.10521053103</v>
      </c>
      <c r="F15" s="723">
        <f t="shared" si="0"/>
        <v>8878.0132122971827</v>
      </c>
      <c r="G15" s="723">
        <f t="shared" ca="1" si="0"/>
        <v>14804.638902722154</v>
      </c>
      <c r="H15" s="723">
        <f t="shared" si="0"/>
        <v>0</v>
      </c>
      <c r="I15" s="723">
        <f t="shared" si="0"/>
        <v>0</v>
      </c>
      <c r="J15" s="723">
        <f t="shared" si="0"/>
        <v>0</v>
      </c>
      <c r="K15" s="723">
        <f t="shared" si="0"/>
        <v>1018.2664389443187</v>
      </c>
      <c r="L15" s="723">
        <f t="shared" si="0"/>
        <v>0</v>
      </c>
      <c r="M15" s="723">
        <f t="shared" ca="1" si="0"/>
        <v>0</v>
      </c>
      <c r="N15" s="723">
        <f t="shared" si="0"/>
        <v>0</v>
      </c>
      <c r="O15" s="723">
        <f t="shared" ca="1" si="0"/>
        <v>19231.06474342036</v>
      </c>
      <c r="P15" s="723">
        <f t="shared" si="0"/>
        <v>250.13333333333335</v>
      </c>
      <c r="Q15" s="724">
        <f t="shared" si="0"/>
        <v>724.5333333333333</v>
      </c>
      <c r="R15" s="725">
        <f ca="1">SUM(R9:R14)</f>
        <v>142465.07002733788</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1362.5152331988104</v>
      </c>
      <c r="I18" s="718">
        <f>transport!H54</f>
        <v>0</v>
      </c>
      <c r="J18" s="718">
        <f>transport!I54</f>
        <v>0</v>
      </c>
      <c r="K18" s="718">
        <f>transport!J54</f>
        <v>0</v>
      </c>
      <c r="L18" s="718">
        <f>transport!K54</f>
        <v>0</v>
      </c>
      <c r="M18" s="718">
        <f>transport!L54</f>
        <v>0</v>
      </c>
      <c r="N18" s="718">
        <f>transport!M54</f>
        <v>77.384850318120343</v>
      </c>
      <c r="O18" s="718">
        <f>transport!N54</f>
        <v>0</v>
      </c>
      <c r="P18" s="718">
        <f>transport!O54</f>
        <v>0</v>
      </c>
      <c r="Q18" s="719">
        <f>transport!P54</f>
        <v>0</v>
      </c>
      <c r="R18" s="721">
        <f>SUM(C18:Q18)</f>
        <v>1439.9000835169306</v>
      </c>
      <c r="S18" s="67"/>
    </row>
    <row r="19" spans="1:19" s="474" customFormat="1" ht="15" thickBot="1">
      <c r="A19" s="870" t="s">
        <v>307</v>
      </c>
      <c r="B19" s="875"/>
      <c r="C19" s="727">
        <f>transport!B14</f>
        <v>60.388977510170562</v>
      </c>
      <c r="D19" s="727">
        <f>transport!C14</f>
        <v>0</v>
      </c>
      <c r="E19" s="727">
        <f>transport!D14</f>
        <v>219.67302603416701</v>
      </c>
      <c r="F19" s="727">
        <f>transport!E14</f>
        <v>291.21432056815013</v>
      </c>
      <c r="G19" s="727">
        <f>transport!F14</f>
        <v>0</v>
      </c>
      <c r="H19" s="727">
        <f>transport!G14</f>
        <v>118674.16814597014</v>
      </c>
      <c r="I19" s="727">
        <f>transport!H14</f>
        <v>24711.895802678453</v>
      </c>
      <c r="J19" s="727">
        <f>transport!I14</f>
        <v>0</v>
      </c>
      <c r="K19" s="727">
        <f>transport!J14</f>
        <v>0</v>
      </c>
      <c r="L19" s="727">
        <f>transport!K14</f>
        <v>0</v>
      </c>
      <c r="M19" s="727">
        <f>transport!L14</f>
        <v>0</v>
      </c>
      <c r="N19" s="727">
        <f>transport!M14</f>
        <v>7667.0581231868437</v>
      </c>
      <c r="O19" s="727">
        <f>transport!N14</f>
        <v>0</v>
      </c>
      <c r="P19" s="727">
        <f>transport!O14</f>
        <v>0</v>
      </c>
      <c r="Q19" s="728">
        <f>transport!P14</f>
        <v>0</v>
      </c>
      <c r="R19" s="729">
        <f>SUM(C19:Q19)</f>
        <v>151624.39839594791</v>
      </c>
      <c r="S19" s="67"/>
    </row>
    <row r="20" spans="1:19" s="474" customFormat="1" ht="15.75" thickBot="1">
      <c r="A20" s="730" t="s">
        <v>230</v>
      </c>
      <c r="B20" s="878"/>
      <c r="C20" s="873">
        <f>SUM(C17:C19)</f>
        <v>60.388977510170562</v>
      </c>
      <c r="D20" s="731">
        <f t="shared" ref="D20:R20" si="1">SUM(D17:D19)</f>
        <v>0</v>
      </c>
      <c r="E20" s="731">
        <f t="shared" si="1"/>
        <v>219.67302603416701</v>
      </c>
      <c r="F20" s="731">
        <f t="shared" si="1"/>
        <v>291.21432056815013</v>
      </c>
      <c r="G20" s="731">
        <f t="shared" si="1"/>
        <v>0</v>
      </c>
      <c r="H20" s="731">
        <f t="shared" si="1"/>
        <v>120036.68337916894</v>
      </c>
      <c r="I20" s="731">
        <f t="shared" si="1"/>
        <v>24711.895802678453</v>
      </c>
      <c r="J20" s="731">
        <f t="shared" si="1"/>
        <v>0</v>
      </c>
      <c r="K20" s="731">
        <f t="shared" si="1"/>
        <v>0</v>
      </c>
      <c r="L20" s="731">
        <f t="shared" si="1"/>
        <v>0</v>
      </c>
      <c r="M20" s="731">
        <f t="shared" si="1"/>
        <v>0</v>
      </c>
      <c r="N20" s="731">
        <f t="shared" si="1"/>
        <v>7744.4429735049644</v>
      </c>
      <c r="O20" s="731">
        <f t="shared" si="1"/>
        <v>0</v>
      </c>
      <c r="P20" s="731">
        <f t="shared" si="1"/>
        <v>0</v>
      </c>
      <c r="Q20" s="732">
        <f t="shared" si="1"/>
        <v>0</v>
      </c>
      <c r="R20" s="733">
        <f t="shared" si="1"/>
        <v>153064.29847946484</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3096.7215129670099</v>
      </c>
      <c r="D22" s="727">
        <f>+landbouw!C8</f>
        <v>0</v>
      </c>
      <c r="E22" s="727">
        <f>+landbouw!D8</f>
        <v>3464.3607592831841</v>
      </c>
      <c r="F22" s="727">
        <f>+landbouw!E8</f>
        <v>91.022103745312876</v>
      </c>
      <c r="G22" s="727">
        <f>+landbouw!F8</f>
        <v>12900.77448497319</v>
      </c>
      <c r="H22" s="727">
        <f>+landbouw!G8</f>
        <v>0</v>
      </c>
      <c r="I22" s="727">
        <f>+landbouw!H8</f>
        <v>0</v>
      </c>
      <c r="J22" s="727">
        <f>+landbouw!I8</f>
        <v>0</v>
      </c>
      <c r="K22" s="727">
        <f>+landbouw!J8</f>
        <v>448.64844437317811</v>
      </c>
      <c r="L22" s="727">
        <f>+landbouw!K8</f>
        <v>0</v>
      </c>
      <c r="M22" s="727">
        <f>+landbouw!L8</f>
        <v>0</v>
      </c>
      <c r="N22" s="727">
        <f>+landbouw!M8</f>
        <v>0</v>
      </c>
      <c r="O22" s="727">
        <f>+landbouw!N8</f>
        <v>0</v>
      </c>
      <c r="P22" s="727">
        <f>+landbouw!O8</f>
        <v>0</v>
      </c>
      <c r="Q22" s="728">
        <f>+landbouw!P8</f>
        <v>0</v>
      </c>
      <c r="R22" s="729">
        <f>SUM(C22:Q22)</f>
        <v>20001.527305341875</v>
      </c>
      <c r="S22" s="67"/>
    </row>
    <row r="23" spans="1:19" s="474" customFormat="1" ht="17.25" thickTop="1" thickBot="1">
      <c r="A23" s="734" t="s">
        <v>116</v>
      </c>
      <c r="B23" s="864"/>
      <c r="C23" s="735">
        <f ca="1">C20+C15+C22</f>
        <v>40665.42534323335</v>
      </c>
      <c r="D23" s="735">
        <f t="shared" ref="D23:Q23" ca="1" si="2">D20+D15+D22</f>
        <v>0</v>
      </c>
      <c r="E23" s="735">
        <f t="shared" ca="1" si="2"/>
        <v>63734.138995848378</v>
      </c>
      <c r="F23" s="735">
        <f t="shared" si="2"/>
        <v>9260.2496366106443</v>
      </c>
      <c r="G23" s="735">
        <f t="shared" ca="1" si="2"/>
        <v>27705.413387695342</v>
      </c>
      <c r="H23" s="735">
        <f t="shared" si="2"/>
        <v>120036.68337916894</v>
      </c>
      <c r="I23" s="735">
        <f t="shared" si="2"/>
        <v>24711.895802678453</v>
      </c>
      <c r="J23" s="735">
        <f t="shared" si="2"/>
        <v>0</v>
      </c>
      <c r="K23" s="735">
        <f t="shared" si="2"/>
        <v>1466.9148833174968</v>
      </c>
      <c r="L23" s="735">
        <f t="shared" si="2"/>
        <v>0</v>
      </c>
      <c r="M23" s="735">
        <f t="shared" ca="1" si="2"/>
        <v>0</v>
      </c>
      <c r="N23" s="735">
        <f t="shared" si="2"/>
        <v>7744.4429735049644</v>
      </c>
      <c r="O23" s="735">
        <f t="shared" ca="1" si="2"/>
        <v>19231.06474342036</v>
      </c>
      <c r="P23" s="735">
        <f t="shared" si="2"/>
        <v>250.13333333333335</v>
      </c>
      <c r="Q23" s="736">
        <f t="shared" si="2"/>
        <v>724.5333333333333</v>
      </c>
      <c r="R23" s="737">
        <f ca="1">R20+R15+R22</f>
        <v>315530.89581214456</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2793.7609926673799</v>
      </c>
      <c r="D36" s="718">
        <f ca="1">tertiair!C20</f>
        <v>0</v>
      </c>
      <c r="E36" s="718">
        <f ca="1">tertiair!D20</f>
        <v>3076.2203629294363</v>
      </c>
      <c r="F36" s="718">
        <f>tertiair!E20</f>
        <v>41.370201100136164</v>
      </c>
      <c r="G36" s="718">
        <f ca="1">tertiair!F20</f>
        <v>579.45512828623453</v>
      </c>
      <c r="H36" s="718">
        <f>tertiair!G20</f>
        <v>0</v>
      </c>
      <c r="I36" s="718">
        <f>tertiair!H20</f>
        <v>0</v>
      </c>
      <c r="J36" s="718">
        <f>tertiair!I20</f>
        <v>0</v>
      </c>
      <c r="K36" s="718">
        <f>tertiair!J20</f>
        <v>1.0037965202651692E-2</v>
      </c>
      <c r="L36" s="718">
        <f>tertiair!K20</f>
        <v>0</v>
      </c>
      <c r="M36" s="718">
        <f ca="1">tertiair!L20</f>
        <v>0</v>
      </c>
      <c r="N36" s="718">
        <f>tertiair!M20</f>
        <v>0</v>
      </c>
      <c r="O36" s="718">
        <f ca="1">tertiair!N20</f>
        <v>0</v>
      </c>
      <c r="P36" s="718">
        <f>tertiair!O20</f>
        <v>0</v>
      </c>
      <c r="Q36" s="828">
        <f>tertiair!P20</f>
        <v>0</v>
      </c>
      <c r="R36" s="917">
        <f ca="1">SUM(C36:Q36)</f>
        <v>6490.8167229483897</v>
      </c>
    </row>
    <row r="37" spans="1:18">
      <c r="A37" s="885" t="s">
        <v>225</v>
      </c>
      <c r="B37" s="892"/>
      <c r="C37" s="718">
        <f ca="1">huishoudens!B12</f>
        <v>4247.5625976069859</v>
      </c>
      <c r="D37" s="718">
        <f ca="1">huishoudens!C12</f>
        <v>0</v>
      </c>
      <c r="E37" s="718">
        <f>huishoudens!D12</f>
        <v>8622.2859017575829</v>
      </c>
      <c r="F37" s="718">
        <f>huishoudens!E12</f>
        <v>1855.0066959589958</v>
      </c>
      <c r="G37" s="718">
        <f>huishoudens!F12</f>
        <v>2973.616623816552</v>
      </c>
      <c r="H37" s="718">
        <f>huishoudens!G12</f>
        <v>0</v>
      </c>
      <c r="I37" s="718">
        <f>huishoudens!H12</f>
        <v>0</v>
      </c>
      <c r="J37" s="718">
        <f>huishoudens!I12</f>
        <v>0</v>
      </c>
      <c r="K37" s="718">
        <f>huishoudens!J12</f>
        <v>359.48608549948761</v>
      </c>
      <c r="L37" s="718">
        <f>huishoudens!K12</f>
        <v>0</v>
      </c>
      <c r="M37" s="718">
        <f>huishoudens!L12</f>
        <v>0</v>
      </c>
      <c r="N37" s="718">
        <f>huishoudens!M12</f>
        <v>0</v>
      </c>
      <c r="O37" s="718">
        <f>huishoudens!N12</f>
        <v>0</v>
      </c>
      <c r="P37" s="718">
        <f>huishoudens!O12</f>
        <v>0</v>
      </c>
      <c r="Q37" s="828">
        <f>huishoudens!P12</f>
        <v>0</v>
      </c>
      <c r="R37" s="917">
        <f ca="1">SUM(C37:Q37)</f>
        <v>18057.957904639607</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556.5341973609809</v>
      </c>
      <c r="D39" s="718">
        <f ca="1">industrie!C22</f>
        <v>0</v>
      </c>
      <c r="E39" s="718">
        <f>industrie!D22</f>
        <v>431.61498784024849</v>
      </c>
      <c r="F39" s="718">
        <f>industrie!E22</f>
        <v>118.93210213232834</v>
      </c>
      <c r="G39" s="718">
        <f>industrie!F22</f>
        <v>399.76683492402884</v>
      </c>
      <c r="H39" s="718">
        <f>industrie!G22</f>
        <v>0</v>
      </c>
      <c r="I39" s="718">
        <f>industrie!H22</f>
        <v>0</v>
      </c>
      <c r="J39" s="718">
        <f>industrie!I22</f>
        <v>0</v>
      </c>
      <c r="K39" s="718">
        <f>industrie!J22</f>
        <v>0.97019592159848822</v>
      </c>
      <c r="L39" s="718">
        <f>industrie!K22</f>
        <v>0</v>
      </c>
      <c r="M39" s="718">
        <f>industrie!L22</f>
        <v>0</v>
      </c>
      <c r="N39" s="718">
        <f>industrie!M22</f>
        <v>0</v>
      </c>
      <c r="O39" s="718">
        <f>industrie!N22</f>
        <v>0</v>
      </c>
      <c r="P39" s="718">
        <f>industrie!O22</f>
        <v>0</v>
      </c>
      <c r="Q39" s="828">
        <f>industrie!P22</f>
        <v>0</v>
      </c>
      <c r="R39" s="918">
        <f ca="1">SUM(C39:Q39)</f>
        <v>1507.8183181791851</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7597.8577876353465</v>
      </c>
      <c r="D41" s="763">
        <f t="shared" ref="D41:R41" ca="1" si="4">SUM(D35:D40)</f>
        <v>0</v>
      </c>
      <c r="E41" s="763">
        <f t="shared" ca="1" si="4"/>
        <v>12130.121252527268</v>
      </c>
      <c r="F41" s="763">
        <f t="shared" si="4"/>
        <v>2015.3089991914603</v>
      </c>
      <c r="G41" s="763">
        <f t="shared" ca="1" si="4"/>
        <v>3952.8385870268153</v>
      </c>
      <c r="H41" s="763">
        <f t="shared" si="4"/>
        <v>0</v>
      </c>
      <c r="I41" s="763">
        <f t="shared" si="4"/>
        <v>0</v>
      </c>
      <c r="J41" s="763">
        <f t="shared" si="4"/>
        <v>0</v>
      </c>
      <c r="K41" s="763">
        <f t="shared" si="4"/>
        <v>360.46631938628872</v>
      </c>
      <c r="L41" s="763">
        <f t="shared" si="4"/>
        <v>0</v>
      </c>
      <c r="M41" s="763">
        <f t="shared" ca="1" si="4"/>
        <v>0</v>
      </c>
      <c r="N41" s="763">
        <f t="shared" si="4"/>
        <v>0</v>
      </c>
      <c r="O41" s="763">
        <f t="shared" ca="1" si="4"/>
        <v>0</v>
      </c>
      <c r="P41" s="763">
        <f t="shared" si="4"/>
        <v>0</v>
      </c>
      <c r="Q41" s="764">
        <f t="shared" si="4"/>
        <v>0</v>
      </c>
      <c r="R41" s="765">
        <f t="shared" ca="1" si="4"/>
        <v>26056.592945767185</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363.7915672640824</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363.7915672640824</v>
      </c>
    </row>
    <row r="45" spans="1:18" ht="15" thickBot="1">
      <c r="A45" s="888" t="s">
        <v>307</v>
      </c>
      <c r="B45" s="898"/>
      <c r="C45" s="727">
        <f ca="1">transport!B18</f>
        <v>12.232670672200829</v>
      </c>
      <c r="D45" s="727">
        <f>transport!C18</f>
        <v>0</v>
      </c>
      <c r="E45" s="727">
        <f>transport!D18</f>
        <v>44.373951258901741</v>
      </c>
      <c r="F45" s="727">
        <f>transport!E18</f>
        <v>66.105650768970079</v>
      </c>
      <c r="G45" s="727">
        <f>transport!F18</f>
        <v>0</v>
      </c>
      <c r="H45" s="727">
        <f>transport!G18</f>
        <v>31686.002894974026</v>
      </c>
      <c r="I45" s="727">
        <f>transport!H18</f>
        <v>6153.2620548669347</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37961.977222541034</v>
      </c>
    </row>
    <row r="46" spans="1:18" ht="15.75" thickBot="1">
      <c r="A46" s="886" t="s">
        <v>230</v>
      </c>
      <c r="B46" s="899"/>
      <c r="C46" s="763">
        <f t="shared" ref="C46:R46" ca="1" si="5">SUM(C43:C45)</f>
        <v>12.232670672200829</v>
      </c>
      <c r="D46" s="763">
        <f t="shared" ca="1" si="5"/>
        <v>0</v>
      </c>
      <c r="E46" s="763">
        <f t="shared" si="5"/>
        <v>44.373951258901741</v>
      </c>
      <c r="F46" s="763">
        <f t="shared" si="5"/>
        <v>66.105650768970079</v>
      </c>
      <c r="G46" s="763">
        <f t="shared" si="5"/>
        <v>0</v>
      </c>
      <c r="H46" s="763">
        <f t="shared" si="5"/>
        <v>32049.794462238107</v>
      </c>
      <c r="I46" s="763">
        <f t="shared" si="5"/>
        <v>6153.2620548669347</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38325.768789805115</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627.28623655310389</v>
      </c>
      <c r="D48" s="718">
        <f ca="1">+landbouw!C12</f>
        <v>0</v>
      </c>
      <c r="E48" s="718">
        <f>+landbouw!D12</f>
        <v>699.8008733752032</v>
      </c>
      <c r="F48" s="718">
        <f>+landbouw!E12</f>
        <v>20.662017550186022</v>
      </c>
      <c r="G48" s="718">
        <f>+landbouw!F12</f>
        <v>3444.5067874878418</v>
      </c>
      <c r="H48" s="718">
        <f>+landbouw!G12</f>
        <v>0</v>
      </c>
      <c r="I48" s="718">
        <f>+landbouw!H12</f>
        <v>0</v>
      </c>
      <c r="J48" s="718">
        <f>+landbouw!I12</f>
        <v>0</v>
      </c>
      <c r="K48" s="718">
        <f>+landbouw!J12</f>
        <v>158.82154930810503</v>
      </c>
      <c r="L48" s="718">
        <f>+landbouw!K12</f>
        <v>0</v>
      </c>
      <c r="M48" s="718">
        <f>+landbouw!L12</f>
        <v>0</v>
      </c>
      <c r="N48" s="718">
        <f>+landbouw!M12</f>
        <v>0</v>
      </c>
      <c r="O48" s="718">
        <f>+landbouw!N12</f>
        <v>0</v>
      </c>
      <c r="P48" s="718">
        <f>+landbouw!O12</f>
        <v>0</v>
      </c>
      <c r="Q48" s="719">
        <f>+landbouw!P12</f>
        <v>0</v>
      </c>
      <c r="R48" s="761">
        <f ca="1">SUM(C48:Q48)</f>
        <v>4951.07746427444</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8237.3766948606517</v>
      </c>
      <c r="D53" s="773">
        <f t="shared" ref="D53:Q53" ca="1" si="6">D41+D46+D48</f>
        <v>0</v>
      </c>
      <c r="E53" s="773">
        <f t="shared" ca="1" si="6"/>
        <v>12874.296077161373</v>
      </c>
      <c r="F53" s="773">
        <f t="shared" si="6"/>
        <v>2102.0766675106165</v>
      </c>
      <c r="G53" s="773">
        <f t="shared" ca="1" si="6"/>
        <v>7397.3453745146571</v>
      </c>
      <c r="H53" s="773">
        <f t="shared" si="6"/>
        <v>32049.794462238107</v>
      </c>
      <c r="I53" s="773">
        <f t="shared" si="6"/>
        <v>6153.2620548669347</v>
      </c>
      <c r="J53" s="773">
        <f t="shared" si="6"/>
        <v>0</v>
      </c>
      <c r="K53" s="773">
        <f t="shared" si="6"/>
        <v>519.28786869439375</v>
      </c>
      <c r="L53" s="773">
        <f t="shared" si="6"/>
        <v>0</v>
      </c>
      <c r="M53" s="773">
        <f t="shared" ca="1" si="6"/>
        <v>0</v>
      </c>
      <c r="N53" s="773">
        <f t="shared" si="6"/>
        <v>0</v>
      </c>
      <c r="O53" s="773">
        <f t="shared" ca="1" si="6"/>
        <v>0</v>
      </c>
      <c r="P53" s="773">
        <f>P41+P46+P48</f>
        <v>0</v>
      </c>
      <c r="Q53" s="774">
        <f t="shared" si="6"/>
        <v>0</v>
      </c>
      <c r="R53" s="775">
        <f ca="1">R41+R46+R48</f>
        <v>69333.439199846733</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0.20256462646913725</v>
      </c>
      <c r="D55" s="836">
        <f t="shared" ca="1" si="7"/>
        <v>0</v>
      </c>
      <c r="E55" s="836">
        <f t="shared" ca="1" si="7"/>
        <v>0.20200000000000001</v>
      </c>
      <c r="F55" s="836">
        <f t="shared" si="7"/>
        <v>0.22700000000000004</v>
      </c>
      <c r="G55" s="836">
        <f t="shared" ca="1" si="7"/>
        <v>0.26700000000000002</v>
      </c>
      <c r="H55" s="836">
        <f t="shared" si="7"/>
        <v>0.26700000000000002</v>
      </c>
      <c r="I55" s="836">
        <f t="shared" si="7"/>
        <v>0.249</v>
      </c>
      <c r="J55" s="836">
        <f t="shared" si="7"/>
        <v>0</v>
      </c>
      <c r="K55" s="836">
        <f t="shared" si="7"/>
        <v>0.35399999999999993</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0</v>
      </c>
      <c r="C64" s="795">
        <f>'lokale energieproductie'!B4</f>
        <v>0</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3392.227628931767</v>
      </c>
      <c r="C66" s="795">
        <f>'lokale energieproductie'!B6</f>
        <v>3392.227628931767</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3392.227628931767</v>
      </c>
      <c r="C69" s="803">
        <f>SUM(C64:C68)</f>
        <v>3392.227628931767</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20968.925678907442</v>
      </c>
      <c r="C4" s="478">
        <f>huishoudens!C8</f>
        <v>0</v>
      </c>
      <c r="D4" s="478">
        <f>huishoudens!D8</f>
        <v>42684.583672067238</v>
      </c>
      <c r="E4" s="478">
        <f>huishoudens!E8</f>
        <v>8171.835665017602</v>
      </c>
      <c r="F4" s="478">
        <f>huishoudens!F8</f>
        <v>11137.140913170606</v>
      </c>
      <c r="G4" s="478">
        <f>huishoudens!G8</f>
        <v>0</v>
      </c>
      <c r="H4" s="478">
        <f>huishoudens!H8</f>
        <v>0</v>
      </c>
      <c r="I4" s="478">
        <f>huishoudens!I8</f>
        <v>0</v>
      </c>
      <c r="J4" s="478">
        <f>huishoudens!J8</f>
        <v>1015.4974166652194</v>
      </c>
      <c r="K4" s="478">
        <f>huishoudens!K8</f>
        <v>0</v>
      </c>
      <c r="L4" s="478">
        <f>huishoudens!L8</f>
        <v>0</v>
      </c>
      <c r="M4" s="478">
        <f>huishoudens!M8</f>
        <v>0</v>
      </c>
      <c r="N4" s="478">
        <f>huishoudens!N8</f>
        <v>17374.926096607887</v>
      </c>
      <c r="O4" s="478">
        <f>huishoudens!O8</f>
        <v>247.00666666666669</v>
      </c>
      <c r="P4" s="479">
        <f>huishoudens!P8</f>
        <v>686.4</v>
      </c>
      <c r="Q4" s="480">
        <f>SUM(B4:P4)</f>
        <v>102286.31610910266</v>
      </c>
    </row>
    <row r="5" spans="1:17">
      <c r="A5" s="477" t="s">
        <v>156</v>
      </c>
      <c r="B5" s="478">
        <f ca="1">tertiair!B16</f>
        <v>12885.871976308743</v>
      </c>
      <c r="C5" s="478">
        <f ca="1">tertiair!C16</f>
        <v>0</v>
      </c>
      <c r="D5" s="478">
        <f ca="1">tertiair!D16</f>
        <v>15228.813677868497</v>
      </c>
      <c r="E5" s="478">
        <f>tertiair!E16</f>
        <v>182.24758193892583</v>
      </c>
      <c r="F5" s="478">
        <f ca="1">tertiair!F16</f>
        <v>2170.2439261656723</v>
      </c>
      <c r="G5" s="478">
        <f>tertiair!G16</f>
        <v>0</v>
      </c>
      <c r="H5" s="478">
        <f>tertiair!H16</f>
        <v>0</v>
      </c>
      <c r="I5" s="478">
        <f>tertiair!I16</f>
        <v>0</v>
      </c>
      <c r="J5" s="478">
        <f>tertiair!J16</f>
        <v>2.8355833905795741E-2</v>
      </c>
      <c r="K5" s="478">
        <f>tertiair!K16</f>
        <v>0</v>
      </c>
      <c r="L5" s="478">
        <f ca="1">tertiair!L16</f>
        <v>0</v>
      </c>
      <c r="M5" s="478">
        <f>tertiair!M16</f>
        <v>0</v>
      </c>
      <c r="N5" s="478">
        <f ca="1">tertiair!N16</f>
        <v>1128.1978385115867</v>
      </c>
      <c r="O5" s="478">
        <f>tertiair!O16</f>
        <v>3.1266666666666669</v>
      </c>
      <c r="P5" s="479">
        <f>tertiair!P16</f>
        <v>38.133333333333333</v>
      </c>
      <c r="Q5" s="477">
        <f t="shared" ref="Q5:Q13" ca="1" si="0">SUM(B5:P5)</f>
        <v>31636.663356627334</v>
      </c>
    </row>
    <row r="6" spans="1:17">
      <c r="A6" s="477" t="s">
        <v>194</v>
      </c>
      <c r="B6" s="478">
        <f>'openbare verlichting'!B8</f>
        <v>906.077</v>
      </c>
      <c r="C6" s="478"/>
      <c r="D6" s="478"/>
      <c r="E6" s="478"/>
      <c r="F6" s="478"/>
      <c r="G6" s="478"/>
      <c r="H6" s="478"/>
      <c r="I6" s="478"/>
      <c r="J6" s="478"/>
      <c r="K6" s="478"/>
      <c r="L6" s="478"/>
      <c r="M6" s="478"/>
      <c r="N6" s="478"/>
      <c r="O6" s="478"/>
      <c r="P6" s="479"/>
      <c r="Q6" s="477">
        <f t="shared" si="0"/>
        <v>906.077</v>
      </c>
    </row>
    <row r="7" spans="1:17">
      <c r="A7" s="477" t="s">
        <v>112</v>
      </c>
      <c r="B7" s="478">
        <f>landbouw!B8</f>
        <v>3096.7215129670099</v>
      </c>
      <c r="C7" s="478">
        <f>landbouw!C8</f>
        <v>0</v>
      </c>
      <c r="D7" s="478">
        <f>landbouw!D8</f>
        <v>3464.3607592831841</v>
      </c>
      <c r="E7" s="478">
        <f>landbouw!E8</f>
        <v>91.022103745312876</v>
      </c>
      <c r="F7" s="478">
        <f>landbouw!F8</f>
        <v>12900.77448497319</v>
      </c>
      <c r="G7" s="478">
        <f>landbouw!G8</f>
        <v>0</v>
      </c>
      <c r="H7" s="478">
        <f>landbouw!H8</f>
        <v>0</v>
      </c>
      <c r="I7" s="478">
        <f>landbouw!I8</f>
        <v>0</v>
      </c>
      <c r="J7" s="478">
        <f>landbouw!J8</f>
        <v>448.64844437317811</v>
      </c>
      <c r="K7" s="478">
        <f>landbouw!K8</f>
        <v>0</v>
      </c>
      <c r="L7" s="478">
        <f>landbouw!L8</f>
        <v>0</v>
      </c>
      <c r="M7" s="478">
        <f>landbouw!M8</f>
        <v>0</v>
      </c>
      <c r="N7" s="478">
        <f>landbouw!N8</f>
        <v>0</v>
      </c>
      <c r="O7" s="478">
        <f>landbouw!O8</f>
        <v>0</v>
      </c>
      <c r="P7" s="479">
        <f>landbouw!P8</f>
        <v>0</v>
      </c>
      <c r="Q7" s="477">
        <f t="shared" si="0"/>
        <v>20001.527305341875</v>
      </c>
    </row>
    <row r="8" spans="1:17">
      <c r="A8" s="477" t="s">
        <v>635</v>
      </c>
      <c r="B8" s="478">
        <f>industrie!B18</f>
        <v>2747.440197539991</v>
      </c>
      <c r="C8" s="478">
        <f>industrie!C18</f>
        <v>0</v>
      </c>
      <c r="D8" s="478">
        <f>industrie!D18</f>
        <v>2136.7078605952893</v>
      </c>
      <c r="E8" s="478">
        <f>industrie!E18</f>
        <v>523.92996534065344</v>
      </c>
      <c r="F8" s="478">
        <f>industrie!F18</f>
        <v>1497.2540633858757</v>
      </c>
      <c r="G8" s="478">
        <f>industrie!G18</f>
        <v>0</v>
      </c>
      <c r="H8" s="478">
        <f>industrie!H18</f>
        <v>0</v>
      </c>
      <c r="I8" s="478">
        <f>industrie!I18</f>
        <v>0</v>
      </c>
      <c r="J8" s="478">
        <f>industrie!J18</f>
        <v>2.7406664451934697</v>
      </c>
      <c r="K8" s="478">
        <f>industrie!K18</f>
        <v>0</v>
      </c>
      <c r="L8" s="478">
        <f>industrie!L18</f>
        <v>0</v>
      </c>
      <c r="M8" s="478">
        <f>industrie!M18</f>
        <v>0</v>
      </c>
      <c r="N8" s="478">
        <f>industrie!N18</f>
        <v>727.94080830088728</v>
      </c>
      <c r="O8" s="478">
        <f>industrie!O18</f>
        <v>0</v>
      </c>
      <c r="P8" s="479">
        <f>industrie!P18</f>
        <v>0</v>
      </c>
      <c r="Q8" s="477">
        <f t="shared" si="0"/>
        <v>7636.0135616078915</v>
      </c>
    </row>
    <row r="9" spans="1:17" s="483" customFormat="1">
      <c r="A9" s="481" t="s">
        <v>561</v>
      </c>
      <c r="B9" s="482">
        <f>transport!B14</f>
        <v>60.388977510170562</v>
      </c>
      <c r="C9" s="482">
        <f>transport!C14</f>
        <v>0</v>
      </c>
      <c r="D9" s="482">
        <f>transport!D14</f>
        <v>219.67302603416701</v>
      </c>
      <c r="E9" s="482">
        <f>transport!E14</f>
        <v>291.21432056815013</v>
      </c>
      <c r="F9" s="482">
        <f>transport!F14</f>
        <v>0</v>
      </c>
      <c r="G9" s="482">
        <f>transport!G14</f>
        <v>118674.16814597014</v>
      </c>
      <c r="H9" s="482">
        <f>transport!H14</f>
        <v>24711.895802678453</v>
      </c>
      <c r="I9" s="482">
        <f>transport!I14</f>
        <v>0</v>
      </c>
      <c r="J9" s="482">
        <f>transport!J14</f>
        <v>0</v>
      </c>
      <c r="K9" s="482">
        <f>transport!K14</f>
        <v>0</v>
      </c>
      <c r="L9" s="482">
        <f>transport!L14</f>
        <v>0</v>
      </c>
      <c r="M9" s="482">
        <f>transport!M14</f>
        <v>7667.0581231868437</v>
      </c>
      <c r="N9" s="482">
        <f>transport!N14</f>
        <v>0</v>
      </c>
      <c r="O9" s="482">
        <f>transport!O14</f>
        <v>0</v>
      </c>
      <c r="P9" s="482">
        <f>transport!P14</f>
        <v>0</v>
      </c>
      <c r="Q9" s="481">
        <f>SUM(B9:P9)</f>
        <v>151624.39839594791</v>
      </c>
    </row>
    <row r="10" spans="1:17">
      <c r="A10" s="477" t="s">
        <v>551</v>
      </c>
      <c r="B10" s="478">
        <f>transport!B54</f>
        <v>0</v>
      </c>
      <c r="C10" s="478">
        <f>transport!C54</f>
        <v>0</v>
      </c>
      <c r="D10" s="478">
        <f>transport!D54</f>
        <v>0</v>
      </c>
      <c r="E10" s="478">
        <f>transport!E54</f>
        <v>0</v>
      </c>
      <c r="F10" s="478">
        <f>transport!F54</f>
        <v>0</v>
      </c>
      <c r="G10" s="478">
        <f>transport!G54</f>
        <v>1362.5152331988104</v>
      </c>
      <c r="H10" s="478">
        <f>transport!H54</f>
        <v>0</v>
      </c>
      <c r="I10" s="478">
        <f>transport!I54</f>
        <v>0</v>
      </c>
      <c r="J10" s="478">
        <f>transport!J54</f>
        <v>0</v>
      </c>
      <c r="K10" s="478">
        <f>transport!K54</f>
        <v>0</v>
      </c>
      <c r="L10" s="478">
        <f>transport!L54</f>
        <v>0</v>
      </c>
      <c r="M10" s="478">
        <f>transport!M54</f>
        <v>77.384850318120343</v>
      </c>
      <c r="N10" s="478">
        <f>transport!N54</f>
        <v>0</v>
      </c>
      <c r="O10" s="478">
        <f>transport!O54</f>
        <v>0</v>
      </c>
      <c r="P10" s="479">
        <f>transport!P54</f>
        <v>0</v>
      </c>
      <c r="Q10" s="477">
        <f t="shared" si="0"/>
        <v>1439.9000835169306</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40665.42534323335</v>
      </c>
      <c r="C14" s="488">
        <f t="shared" ref="C14:Q14" ca="1" si="1">SUM(C4:C13)</f>
        <v>0</v>
      </c>
      <c r="D14" s="488">
        <f t="shared" ca="1" si="1"/>
        <v>63734.138995848378</v>
      </c>
      <c r="E14" s="488">
        <f t="shared" si="1"/>
        <v>9260.2496366106443</v>
      </c>
      <c r="F14" s="488">
        <f t="shared" ca="1" si="1"/>
        <v>27705.413387695346</v>
      </c>
      <c r="G14" s="488">
        <f t="shared" si="1"/>
        <v>120036.68337916894</v>
      </c>
      <c r="H14" s="488">
        <f t="shared" si="1"/>
        <v>24711.895802678453</v>
      </c>
      <c r="I14" s="488">
        <f t="shared" si="1"/>
        <v>0</v>
      </c>
      <c r="J14" s="488">
        <f t="shared" si="1"/>
        <v>1466.9148833174968</v>
      </c>
      <c r="K14" s="488">
        <f t="shared" si="1"/>
        <v>0</v>
      </c>
      <c r="L14" s="488">
        <f t="shared" ca="1" si="1"/>
        <v>0</v>
      </c>
      <c r="M14" s="488">
        <f t="shared" si="1"/>
        <v>7744.4429735049644</v>
      </c>
      <c r="N14" s="488">
        <f t="shared" ca="1" si="1"/>
        <v>19231.06474342036</v>
      </c>
      <c r="O14" s="488">
        <f t="shared" si="1"/>
        <v>250.13333333333335</v>
      </c>
      <c r="P14" s="489">
        <f t="shared" si="1"/>
        <v>724.5333333333333</v>
      </c>
      <c r="Q14" s="489">
        <f t="shared" ca="1" si="1"/>
        <v>315530.89581214462</v>
      </c>
    </row>
    <row r="16" spans="1:17">
      <c r="A16" s="491" t="s">
        <v>556</v>
      </c>
      <c r="B16" s="841">
        <f ca="1">huishoudens!B10</f>
        <v>0.20256462646913723</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4247.5625976069859</v>
      </c>
      <c r="C21" s="478">
        <f t="shared" ref="C21:C30" ca="1" si="3">C4*$C$16</f>
        <v>0</v>
      </c>
      <c r="D21" s="478">
        <f t="shared" ref="D21:D30" si="4">D4*$D$16</f>
        <v>8622.2859017575829</v>
      </c>
      <c r="E21" s="478">
        <f t="shared" ref="E21:E30" si="5">E4*$E$16</f>
        <v>1855.0066959589958</v>
      </c>
      <c r="F21" s="478">
        <f t="shared" ref="F21:F30" si="6">F4*$F$16</f>
        <v>2973.616623816552</v>
      </c>
      <c r="G21" s="478">
        <f t="shared" ref="G21:G30" si="7">G4*$G$16</f>
        <v>0</v>
      </c>
      <c r="H21" s="478">
        <f t="shared" ref="H21:H30" si="8">H4*$H$16</f>
        <v>0</v>
      </c>
      <c r="I21" s="478">
        <f t="shared" ref="I21:I30" si="9">I4*$I$16</f>
        <v>0</v>
      </c>
      <c r="J21" s="478">
        <f t="shared" ref="J21:J30" si="10">J4*$J$16</f>
        <v>359.48608549948761</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18057.957904639607</v>
      </c>
    </row>
    <row r="22" spans="1:17">
      <c r="A22" s="477" t="s">
        <v>156</v>
      </c>
      <c r="B22" s="478">
        <f t="shared" ca="1" si="2"/>
        <v>2610.2218436101034</v>
      </c>
      <c r="C22" s="478">
        <f t="shared" ca="1" si="3"/>
        <v>0</v>
      </c>
      <c r="D22" s="478">
        <f t="shared" ca="1" si="4"/>
        <v>3076.2203629294363</v>
      </c>
      <c r="E22" s="478">
        <f t="shared" si="5"/>
        <v>41.370201100136164</v>
      </c>
      <c r="F22" s="478">
        <f t="shared" ca="1" si="6"/>
        <v>579.45512828623453</v>
      </c>
      <c r="G22" s="478">
        <f t="shared" si="7"/>
        <v>0</v>
      </c>
      <c r="H22" s="478">
        <f t="shared" si="8"/>
        <v>0</v>
      </c>
      <c r="I22" s="478">
        <f t="shared" si="9"/>
        <v>0</v>
      </c>
      <c r="J22" s="478">
        <f t="shared" si="10"/>
        <v>1.0037965202651692E-2</v>
      </c>
      <c r="K22" s="478">
        <f t="shared" si="11"/>
        <v>0</v>
      </c>
      <c r="L22" s="478">
        <f t="shared" ca="1" si="12"/>
        <v>0</v>
      </c>
      <c r="M22" s="478">
        <f t="shared" si="13"/>
        <v>0</v>
      </c>
      <c r="N22" s="478">
        <f t="shared" ca="1" si="14"/>
        <v>0</v>
      </c>
      <c r="O22" s="478">
        <f t="shared" si="15"/>
        <v>0</v>
      </c>
      <c r="P22" s="479">
        <f t="shared" si="16"/>
        <v>0</v>
      </c>
      <c r="Q22" s="477">
        <f t="shared" ref="Q22:Q30" ca="1" si="17">SUM(B22:P22)</f>
        <v>6307.2775738911132</v>
      </c>
    </row>
    <row r="23" spans="1:17">
      <c r="A23" s="477" t="s">
        <v>194</v>
      </c>
      <c r="B23" s="478">
        <f t="shared" ca="1" si="2"/>
        <v>183.53914905727646</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183.53914905727646</v>
      </c>
    </row>
    <row r="24" spans="1:17">
      <c r="A24" s="477" t="s">
        <v>112</v>
      </c>
      <c r="B24" s="478">
        <f t="shared" ca="1" si="2"/>
        <v>627.28623655310389</v>
      </c>
      <c r="C24" s="478">
        <f t="shared" ca="1" si="3"/>
        <v>0</v>
      </c>
      <c r="D24" s="478">
        <f t="shared" si="4"/>
        <v>699.8008733752032</v>
      </c>
      <c r="E24" s="478">
        <f t="shared" si="5"/>
        <v>20.662017550186022</v>
      </c>
      <c r="F24" s="478">
        <f t="shared" si="6"/>
        <v>3444.5067874878418</v>
      </c>
      <c r="G24" s="478">
        <f t="shared" si="7"/>
        <v>0</v>
      </c>
      <c r="H24" s="478">
        <f t="shared" si="8"/>
        <v>0</v>
      </c>
      <c r="I24" s="478">
        <f t="shared" si="9"/>
        <v>0</v>
      </c>
      <c r="J24" s="478">
        <f t="shared" si="10"/>
        <v>158.82154930810503</v>
      </c>
      <c r="K24" s="478">
        <f t="shared" si="11"/>
        <v>0</v>
      </c>
      <c r="L24" s="478">
        <f t="shared" si="12"/>
        <v>0</v>
      </c>
      <c r="M24" s="478">
        <f t="shared" si="13"/>
        <v>0</v>
      </c>
      <c r="N24" s="478">
        <f t="shared" si="14"/>
        <v>0</v>
      </c>
      <c r="O24" s="478">
        <f t="shared" si="15"/>
        <v>0</v>
      </c>
      <c r="P24" s="479">
        <f t="shared" si="16"/>
        <v>0</v>
      </c>
      <c r="Q24" s="477">
        <f t="shared" ca="1" si="17"/>
        <v>4951.07746427444</v>
      </c>
    </row>
    <row r="25" spans="1:17">
      <c r="A25" s="477" t="s">
        <v>635</v>
      </c>
      <c r="B25" s="478">
        <f t="shared" ca="1" si="2"/>
        <v>556.5341973609809</v>
      </c>
      <c r="C25" s="478">
        <f t="shared" ca="1" si="3"/>
        <v>0</v>
      </c>
      <c r="D25" s="478">
        <f t="shared" si="4"/>
        <v>431.61498784024849</v>
      </c>
      <c r="E25" s="478">
        <f t="shared" si="5"/>
        <v>118.93210213232834</v>
      </c>
      <c r="F25" s="478">
        <f t="shared" si="6"/>
        <v>399.76683492402884</v>
      </c>
      <c r="G25" s="478">
        <f t="shared" si="7"/>
        <v>0</v>
      </c>
      <c r="H25" s="478">
        <f t="shared" si="8"/>
        <v>0</v>
      </c>
      <c r="I25" s="478">
        <f t="shared" si="9"/>
        <v>0</v>
      </c>
      <c r="J25" s="478">
        <f t="shared" si="10"/>
        <v>0.97019592159848822</v>
      </c>
      <c r="K25" s="478">
        <f t="shared" si="11"/>
        <v>0</v>
      </c>
      <c r="L25" s="478">
        <f t="shared" si="12"/>
        <v>0</v>
      </c>
      <c r="M25" s="478">
        <f t="shared" si="13"/>
        <v>0</v>
      </c>
      <c r="N25" s="478">
        <f t="shared" si="14"/>
        <v>0</v>
      </c>
      <c r="O25" s="478">
        <f t="shared" si="15"/>
        <v>0</v>
      </c>
      <c r="P25" s="479">
        <f t="shared" si="16"/>
        <v>0</v>
      </c>
      <c r="Q25" s="477">
        <f t="shared" ca="1" si="17"/>
        <v>1507.8183181791851</v>
      </c>
    </row>
    <row r="26" spans="1:17" s="483" customFormat="1">
      <c r="A26" s="481" t="s">
        <v>561</v>
      </c>
      <c r="B26" s="835">
        <f t="shared" ca="1" si="2"/>
        <v>12.232670672200829</v>
      </c>
      <c r="C26" s="482">
        <f t="shared" ca="1" si="3"/>
        <v>0</v>
      </c>
      <c r="D26" s="482">
        <f t="shared" si="4"/>
        <v>44.373951258901741</v>
      </c>
      <c r="E26" s="482">
        <f t="shared" si="5"/>
        <v>66.105650768970079</v>
      </c>
      <c r="F26" s="482">
        <f t="shared" si="6"/>
        <v>0</v>
      </c>
      <c r="G26" s="482">
        <f t="shared" si="7"/>
        <v>31686.002894974026</v>
      </c>
      <c r="H26" s="482">
        <f t="shared" si="8"/>
        <v>6153.2620548669347</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37961.977222541034</v>
      </c>
    </row>
    <row r="27" spans="1:17">
      <c r="A27" s="477" t="s">
        <v>551</v>
      </c>
      <c r="B27" s="478">
        <f t="shared" ca="1" si="2"/>
        <v>0</v>
      </c>
      <c r="C27" s="478">
        <f t="shared" ca="1" si="3"/>
        <v>0</v>
      </c>
      <c r="D27" s="478">
        <f t="shared" si="4"/>
        <v>0</v>
      </c>
      <c r="E27" s="478">
        <f t="shared" si="5"/>
        <v>0</v>
      </c>
      <c r="F27" s="478">
        <f t="shared" si="6"/>
        <v>0</v>
      </c>
      <c r="G27" s="478">
        <f t="shared" si="7"/>
        <v>363.7915672640824</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363.7915672640824</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8237.3766948606517</v>
      </c>
      <c r="C31" s="488">
        <f t="shared" ca="1" si="18"/>
        <v>0</v>
      </c>
      <c r="D31" s="488">
        <f t="shared" ca="1" si="18"/>
        <v>12874.296077161373</v>
      </c>
      <c r="E31" s="488">
        <f t="shared" si="18"/>
        <v>2102.0766675106165</v>
      </c>
      <c r="F31" s="488">
        <f t="shared" ca="1" si="18"/>
        <v>7397.3453745146562</v>
      </c>
      <c r="G31" s="488">
        <f t="shared" si="18"/>
        <v>32049.794462238107</v>
      </c>
      <c r="H31" s="488">
        <f t="shared" si="18"/>
        <v>6153.2620548669347</v>
      </c>
      <c r="I31" s="488">
        <f t="shared" si="18"/>
        <v>0</v>
      </c>
      <c r="J31" s="488">
        <f t="shared" si="18"/>
        <v>519.28786869439375</v>
      </c>
      <c r="K31" s="488">
        <f t="shared" si="18"/>
        <v>0</v>
      </c>
      <c r="L31" s="488">
        <f t="shared" ca="1" si="18"/>
        <v>0</v>
      </c>
      <c r="M31" s="488">
        <f t="shared" si="18"/>
        <v>0</v>
      </c>
      <c r="N31" s="488">
        <f t="shared" ca="1" si="18"/>
        <v>0</v>
      </c>
      <c r="O31" s="488">
        <f t="shared" si="18"/>
        <v>0</v>
      </c>
      <c r="P31" s="489">
        <f t="shared" si="18"/>
        <v>0</v>
      </c>
      <c r="Q31" s="489">
        <f t="shared" ca="1" si="18"/>
        <v>69333.439199846733</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0.20256462646913723</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2</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3.1266666666666669</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1</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19.066666666666666</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0.20256462646913723</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0.20256462646913723</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31006</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4520</v>
      </c>
      <c r="C9" s="342">
        <v>4436</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6704.47</v>
      </c>
    </row>
    <row r="15" spans="1:6">
      <c r="A15" s="348" t="s">
        <v>184</v>
      </c>
      <c r="B15" s="334">
        <v>66</v>
      </c>
    </row>
    <row r="16" spans="1:6">
      <c r="A16" s="348" t="s">
        <v>6</v>
      </c>
      <c r="B16" s="334">
        <v>2502</v>
      </c>
    </row>
    <row r="17" spans="1:6">
      <c r="A17" s="348" t="s">
        <v>7</v>
      </c>
      <c r="B17" s="334">
        <v>2469</v>
      </c>
    </row>
    <row r="18" spans="1:6">
      <c r="A18" s="348" t="s">
        <v>8</v>
      </c>
      <c r="B18" s="334">
        <v>3544</v>
      </c>
    </row>
    <row r="19" spans="1:6">
      <c r="A19" s="348" t="s">
        <v>9</v>
      </c>
      <c r="B19" s="334">
        <v>3539</v>
      </c>
    </row>
    <row r="20" spans="1:6">
      <c r="A20" s="348" t="s">
        <v>10</v>
      </c>
      <c r="B20" s="334">
        <v>2314</v>
      </c>
    </row>
    <row r="21" spans="1:6">
      <c r="A21" s="348" t="s">
        <v>11</v>
      </c>
      <c r="B21" s="334">
        <v>4354</v>
      </c>
    </row>
    <row r="22" spans="1:6">
      <c r="A22" s="348" t="s">
        <v>12</v>
      </c>
      <c r="B22" s="334">
        <v>16455</v>
      </c>
    </row>
    <row r="23" spans="1:6">
      <c r="A23" s="348" t="s">
        <v>13</v>
      </c>
      <c r="B23" s="334">
        <v>342</v>
      </c>
    </row>
    <row r="24" spans="1:6">
      <c r="A24" s="348" t="s">
        <v>14</v>
      </c>
      <c r="B24" s="334">
        <v>12</v>
      </c>
    </row>
    <row r="25" spans="1:6">
      <c r="A25" s="348" t="s">
        <v>15</v>
      </c>
      <c r="B25" s="334">
        <v>1448</v>
      </c>
    </row>
    <row r="26" spans="1:6">
      <c r="A26" s="348" t="s">
        <v>16</v>
      </c>
      <c r="B26" s="334">
        <v>796</v>
      </c>
    </row>
    <row r="27" spans="1:6">
      <c r="A27" s="348" t="s">
        <v>17</v>
      </c>
      <c r="B27" s="334">
        <v>60</v>
      </c>
    </row>
    <row r="28" spans="1:6" s="356" customFormat="1">
      <c r="A28" s="355" t="s">
        <v>18</v>
      </c>
      <c r="B28" s="355">
        <v>149302</v>
      </c>
    </row>
    <row r="29" spans="1:6">
      <c r="A29" s="355" t="s">
        <v>744</v>
      </c>
      <c r="B29" s="355">
        <v>237</v>
      </c>
      <c r="C29" s="356"/>
      <c r="D29" s="356"/>
      <c r="E29" s="356"/>
      <c r="F29" s="356"/>
    </row>
    <row r="30" spans="1:6">
      <c r="A30" s="341" t="s">
        <v>745</v>
      </c>
      <c r="B30" s="341">
        <v>79</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27269.3805532304</v>
      </c>
      <c r="E38" s="334">
        <v>5</v>
      </c>
      <c r="F38" s="334">
        <v>143237.11889122799</v>
      </c>
    </row>
    <row r="39" spans="1:6">
      <c r="A39" s="348" t="s">
        <v>30</v>
      </c>
      <c r="B39" s="348" t="s">
        <v>31</v>
      </c>
      <c r="C39" s="334">
        <v>2722</v>
      </c>
      <c r="D39" s="334">
        <v>47322154.847081199</v>
      </c>
      <c r="E39" s="334">
        <v>4090</v>
      </c>
      <c r="F39" s="334">
        <v>18107437.7751805</v>
      </c>
    </row>
    <row r="40" spans="1:6">
      <c r="A40" s="348" t="s">
        <v>30</v>
      </c>
      <c r="B40" s="348" t="s">
        <v>29</v>
      </c>
      <c r="C40" s="334">
        <v>0</v>
      </c>
      <c r="D40" s="334">
        <v>0</v>
      </c>
      <c r="E40" s="334">
        <v>0</v>
      </c>
      <c r="F40" s="334">
        <v>0</v>
      </c>
    </row>
    <row r="41" spans="1:6">
      <c r="A41" s="348" t="s">
        <v>32</v>
      </c>
      <c r="B41" s="348" t="s">
        <v>33</v>
      </c>
      <c r="C41" s="334">
        <v>86</v>
      </c>
      <c r="D41" s="334">
        <v>1694635.3475140401</v>
      </c>
      <c r="E41" s="334">
        <v>207</v>
      </c>
      <c r="F41" s="334">
        <v>1641032.97730781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3</v>
      </c>
      <c r="D44" s="334">
        <v>49828.314832665099</v>
      </c>
      <c r="E44" s="334">
        <v>17</v>
      </c>
      <c r="F44" s="334">
        <v>174082.79692186299</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19</v>
      </c>
      <c r="D48" s="334">
        <v>475084.75470088102</v>
      </c>
      <c r="E48" s="334">
        <v>36</v>
      </c>
      <c r="F48" s="334">
        <v>765553.35270141298</v>
      </c>
    </row>
    <row r="49" spans="1:6">
      <c r="A49" s="348" t="s">
        <v>32</v>
      </c>
      <c r="B49" s="348" t="s">
        <v>40</v>
      </c>
      <c r="C49" s="334">
        <v>0</v>
      </c>
      <c r="D49" s="334">
        <v>0</v>
      </c>
      <c r="E49" s="334">
        <v>0</v>
      </c>
      <c r="F49" s="334">
        <v>0</v>
      </c>
    </row>
    <row r="50" spans="1:6">
      <c r="A50" s="348" t="s">
        <v>32</v>
      </c>
      <c r="B50" s="348" t="s">
        <v>41</v>
      </c>
      <c r="C50" s="334">
        <v>5</v>
      </c>
      <c r="D50" s="334">
        <v>149307.30423322201</v>
      </c>
      <c r="E50" s="334">
        <v>7</v>
      </c>
      <c r="F50" s="334">
        <v>166771.07060890499</v>
      </c>
    </row>
    <row r="51" spans="1:6">
      <c r="A51" s="348" t="s">
        <v>42</v>
      </c>
      <c r="B51" s="348" t="s">
        <v>43</v>
      </c>
      <c r="C51" s="334">
        <v>21</v>
      </c>
      <c r="D51" s="334">
        <v>1048963.60618026</v>
      </c>
      <c r="E51" s="334">
        <v>174</v>
      </c>
      <c r="F51" s="334">
        <v>2787178.4583585402</v>
      </c>
    </row>
    <row r="52" spans="1:6">
      <c r="A52" s="348" t="s">
        <v>42</v>
      </c>
      <c r="B52" s="348" t="s">
        <v>29</v>
      </c>
      <c r="C52" s="334">
        <v>4</v>
      </c>
      <c r="D52" s="334">
        <v>823656.63801624102</v>
      </c>
      <c r="E52" s="334">
        <v>12</v>
      </c>
      <c r="F52" s="334">
        <v>309543.05460847</v>
      </c>
    </row>
    <row r="53" spans="1:6">
      <c r="A53" s="348" t="s">
        <v>44</v>
      </c>
      <c r="B53" s="348" t="s">
        <v>45</v>
      </c>
      <c r="C53" s="334">
        <v>87</v>
      </c>
      <c r="D53" s="334">
        <v>1968134.47784694</v>
      </c>
      <c r="E53" s="334">
        <v>217</v>
      </c>
      <c r="F53" s="334">
        <v>847148.62716333906</v>
      </c>
    </row>
    <row r="54" spans="1:6">
      <c r="A54" s="348" t="s">
        <v>46</v>
      </c>
      <c r="B54" s="348" t="s">
        <v>47</v>
      </c>
      <c r="C54" s="334">
        <v>0</v>
      </c>
      <c r="D54" s="334">
        <v>0</v>
      </c>
      <c r="E54" s="334">
        <v>1</v>
      </c>
      <c r="F54" s="334">
        <v>906077</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27</v>
      </c>
      <c r="D57" s="334">
        <v>976894.90057032299</v>
      </c>
      <c r="E57" s="334">
        <v>71</v>
      </c>
      <c r="F57" s="334">
        <v>896928.82556970301</v>
      </c>
    </row>
    <row r="58" spans="1:6">
      <c r="A58" s="348" t="s">
        <v>49</v>
      </c>
      <c r="B58" s="348" t="s">
        <v>51</v>
      </c>
      <c r="C58" s="334">
        <v>25</v>
      </c>
      <c r="D58" s="334">
        <v>703940.54151068395</v>
      </c>
      <c r="E58" s="334">
        <v>36</v>
      </c>
      <c r="F58" s="334">
        <v>258444.52066168099</v>
      </c>
    </row>
    <row r="59" spans="1:6">
      <c r="A59" s="348" t="s">
        <v>49</v>
      </c>
      <c r="B59" s="348" t="s">
        <v>52</v>
      </c>
      <c r="C59" s="334">
        <v>53</v>
      </c>
      <c r="D59" s="334">
        <v>1944524.6255636399</v>
      </c>
      <c r="E59" s="334">
        <v>147</v>
      </c>
      <c r="F59" s="334">
        <v>2662165.1186741199</v>
      </c>
    </row>
    <row r="60" spans="1:6">
      <c r="A60" s="348" t="s">
        <v>49</v>
      </c>
      <c r="B60" s="348" t="s">
        <v>53</v>
      </c>
      <c r="C60" s="334">
        <v>81</v>
      </c>
      <c r="D60" s="334">
        <v>3960580.3917397601</v>
      </c>
      <c r="E60" s="334">
        <v>104</v>
      </c>
      <c r="F60" s="334">
        <v>2661812.5116036101</v>
      </c>
    </row>
    <row r="61" spans="1:6">
      <c r="A61" s="348" t="s">
        <v>49</v>
      </c>
      <c r="B61" s="348" t="s">
        <v>54</v>
      </c>
      <c r="C61" s="334">
        <v>114</v>
      </c>
      <c r="D61" s="334">
        <v>5446341.4010771504</v>
      </c>
      <c r="E61" s="334">
        <v>230</v>
      </c>
      <c r="F61" s="334">
        <v>2676976.0240057101</v>
      </c>
    </row>
    <row r="62" spans="1:6">
      <c r="A62" s="348" t="s">
        <v>49</v>
      </c>
      <c r="B62" s="348" t="s">
        <v>55</v>
      </c>
      <c r="C62" s="334">
        <v>6</v>
      </c>
      <c r="D62" s="334">
        <v>83578.712865671594</v>
      </c>
      <c r="E62" s="334">
        <v>11</v>
      </c>
      <c r="F62" s="334">
        <v>59533.681849148503</v>
      </c>
    </row>
    <row r="63" spans="1:6">
      <c r="A63" s="348" t="s">
        <v>49</v>
      </c>
      <c r="B63" s="348" t="s">
        <v>29</v>
      </c>
      <c r="C63" s="334">
        <v>82</v>
      </c>
      <c r="D63" s="334">
        <v>3767524.8788551399</v>
      </c>
      <c r="E63" s="334">
        <v>92</v>
      </c>
      <c r="F63" s="334">
        <v>3670011.29394477</v>
      </c>
    </row>
    <row r="64" spans="1:6">
      <c r="A64" s="348" t="s">
        <v>56</v>
      </c>
      <c r="B64" s="348" t="s">
        <v>57</v>
      </c>
      <c r="C64" s="334">
        <v>0</v>
      </c>
      <c r="D64" s="334">
        <v>0</v>
      </c>
      <c r="E64" s="334">
        <v>0</v>
      </c>
      <c r="F64" s="334">
        <v>0</v>
      </c>
    </row>
    <row r="65" spans="1:6">
      <c r="A65" s="348" t="s">
        <v>56</v>
      </c>
      <c r="B65" s="348" t="s">
        <v>29</v>
      </c>
      <c r="C65" s="334">
        <v>1</v>
      </c>
      <c r="D65" s="334">
        <v>21605.315781712801</v>
      </c>
      <c r="E65" s="334">
        <v>3</v>
      </c>
      <c r="F65" s="334">
        <v>18679.025796776201</v>
      </c>
    </row>
    <row r="66" spans="1:6">
      <c r="A66" s="348" t="s">
        <v>56</v>
      </c>
      <c r="B66" s="348" t="s">
        <v>58</v>
      </c>
      <c r="C66" s="334">
        <v>0</v>
      </c>
      <c r="D66" s="334">
        <v>0</v>
      </c>
      <c r="E66" s="334">
        <v>11</v>
      </c>
      <c r="F66" s="334">
        <v>437063.14146665001</v>
      </c>
    </row>
    <row r="67" spans="1:6">
      <c r="A67" s="355" t="s">
        <v>56</v>
      </c>
      <c r="B67" s="355" t="s">
        <v>59</v>
      </c>
      <c r="C67" s="334">
        <v>0</v>
      </c>
      <c r="D67" s="334">
        <v>0</v>
      </c>
      <c r="E67" s="334">
        <v>0</v>
      </c>
      <c r="F67" s="334">
        <v>0</v>
      </c>
    </row>
    <row r="68" spans="1:6">
      <c r="A68" s="341" t="s">
        <v>56</v>
      </c>
      <c r="B68" s="341" t="s">
        <v>60</v>
      </c>
      <c r="C68" s="334">
        <v>3</v>
      </c>
      <c r="D68" s="334">
        <v>85227.530650414395</v>
      </c>
      <c r="E68" s="334">
        <v>4</v>
      </c>
      <c r="F68" s="334">
        <v>36034.084543931203</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111522466</v>
      </c>
      <c r="E73" s="476">
        <v>94593874.976014867</v>
      </c>
    </row>
    <row r="74" spans="1:6">
      <c r="A74" s="348" t="s">
        <v>64</v>
      </c>
      <c r="B74" s="348" t="s">
        <v>657</v>
      </c>
      <c r="C74" s="1213" t="s">
        <v>659</v>
      </c>
      <c r="D74" s="476">
        <v>13434680.516325973</v>
      </c>
      <c r="E74" s="476">
        <v>11351734.373612968</v>
      </c>
    </row>
    <row r="75" spans="1:6">
      <c r="A75" s="348" t="s">
        <v>65</v>
      </c>
      <c r="B75" s="348" t="s">
        <v>656</v>
      </c>
      <c r="C75" s="1213" t="s">
        <v>660</v>
      </c>
      <c r="D75" s="476">
        <v>41981522</v>
      </c>
      <c r="E75" s="476">
        <v>39176337.357168257</v>
      </c>
    </row>
    <row r="76" spans="1:6">
      <c r="A76" s="348" t="s">
        <v>65</v>
      </c>
      <c r="B76" s="348" t="s">
        <v>657</v>
      </c>
      <c r="C76" s="1213" t="s">
        <v>661</v>
      </c>
      <c r="D76" s="476">
        <v>3088163.516325972</v>
      </c>
      <c r="E76" s="476">
        <v>2926999.2809962472</v>
      </c>
    </row>
    <row r="77" spans="1:6">
      <c r="A77" s="348" t="s">
        <v>66</v>
      </c>
      <c r="B77" s="348" t="s">
        <v>656</v>
      </c>
      <c r="C77" s="1213" t="s">
        <v>662</v>
      </c>
      <c r="D77" s="476">
        <v>0</v>
      </c>
      <c r="E77" s="476">
        <v>0</v>
      </c>
    </row>
    <row r="78" spans="1:6">
      <c r="A78" s="341" t="s">
        <v>66</v>
      </c>
      <c r="B78" s="341" t="s">
        <v>657</v>
      </c>
      <c r="C78" s="341" t="s">
        <v>663</v>
      </c>
      <c r="D78" s="1214">
        <v>0</v>
      </c>
      <c r="E78" s="1214">
        <v>0</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390524.96734805568</v>
      </c>
      <c r="C83" s="476">
        <v>390198.12466247933</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0</v>
      </c>
    </row>
    <row r="91" spans="1:6">
      <c r="A91" s="348" t="s">
        <v>68</v>
      </c>
      <c r="B91" s="334">
        <v>2861.4879037269429</v>
      </c>
    </row>
    <row r="92" spans="1:6">
      <c r="A92" s="341" t="s">
        <v>69</v>
      </c>
      <c r="B92" s="342">
        <v>530.73972520482403</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1630</v>
      </c>
    </row>
    <row r="98" spans="1:6">
      <c r="A98" s="348" t="s">
        <v>72</v>
      </c>
      <c r="B98" s="334">
        <v>0</v>
      </c>
    </row>
    <row r="99" spans="1:6">
      <c r="A99" s="348" t="s">
        <v>73</v>
      </c>
      <c r="B99" s="334">
        <v>226</v>
      </c>
    </row>
    <row r="100" spans="1:6">
      <c r="A100" s="348" t="s">
        <v>74</v>
      </c>
      <c r="B100" s="334">
        <v>396</v>
      </c>
    </row>
    <row r="101" spans="1:6">
      <c r="A101" s="348" t="s">
        <v>75</v>
      </c>
      <c r="B101" s="334">
        <v>141</v>
      </c>
    </row>
    <row r="102" spans="1:6">
      <c r="A102" s="348" t="s">
        <v>76</v>
      </c>
      <c r="B102" s="334">
        <v>107</v>
      </c>
    </row>
    <row r="103" spans="1:6">
      <c r="A103" s="348" t="s">
        <v>77</v>
      </c>
      <c r="B103" s="334">
        <v>138</v>
      </c>
    </row>
    <row r="104" spans="1:6">
      <c r="A104" s="348" t="s">
        <v>78</v>
      </c>
      <c r="B104" s="334">
        <v>1413</v>
      </c>
    </row>
    <row r="105" spans="1:6">
      <c r="A105" s="341" t="s">
        <v>79</v>
      </c>
      <c r="B105" s="341">
        <v>4</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2</v>
      </c>
    </row>
    <row r="111" spans="1:6">
      <c r="A111" s="1216" t="s">
        <v>647</v>
      </c>
      <c r="B111" s="1217">
        <v>1</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17</v>
      </c>
      <c r="C123" s="334">
        <v>28</v>
      </c>
    </row>
    <row r="124" spans="1:6">
      <c r="A124" s="341" t="s">
        <v>89</v>
      </c>
      <c r="B124" s="334">
        <v>0</v>
      </c>
      <c r="C124" s="334">
        <v>2</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128</v>
      </c>
    </row>
    <row r="130" spans="1:6">
      <c r="A130" s="348" t="s">
        <v>295</v>
      </c>
      <c r="B130" s="334">
        <v>2</v>
      </c>
    </row>
    <row r="131" spans="1:6">
      <c r="A131" s="348" t="s">
        <v>296</v>
      </c>
      <c r="B131" s="334">
        <v>2</v>
      </c>
    </row>
    <row r="132" spans="1:6">
      <c r="A132" s="341" t="s">
        <v>297</v>
      </c>
      <c r="B132" s="342">
        <v>19</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40665.42534323335</v>
      </c>
      <c r="C3" s="43" t="s">
        <v>170</v>
      </c>
      <c r="D3" s="43"/>
      <c r="E3" s="154"/>
      <c r="F3" s="43"/>
      <c r="G3" s="43"/>
      <c r="H3" s="43"/>
      <c r="I3" s="43"/>
      <c r="J3" s="43"/>
      <c r="K3" s="96"/>
    </row>
    <row r="4" spans="1:11">
      <c r="A4" s="383" t="s">
        <v>171</v>
      </c>
      <c r="B4" s="49">
        <f>IF(ISERROR('SEAP template'!B69),0,'SEAP template'!B69)</f>
        <v>3392.227628931767</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0.20256462646913723</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906.077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906.077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0.20256462646913723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183.53914905727646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18107.4377751805</v>
      </c>
      <c r="C5" s="17">
        <f>IF(ISERROR('Eigen informatie GS &amp; warmtenet'!B57),0,'Eigen informatie GS &amp; warmtenet'!B57)</f>
        <v>0</v>
      </c>
      <c r="D5" s="30">
        <f>(SUM(HH_hh_gas_kWh,HH_rest_gas_kWh)/1000)*0.902</f>
        <v>42684.583672067238</v>
      </c>
      <c r="E5" s="17">
        <f>B46*B57</f>
        <v>8171.835665017602</v>
      </c>
      <c r="F5" s="17">
        <f>B51*B62</f>
        <v>11137.140913170606</v>
      </c>
      <c r="G5" s="18"/>
      <c r="H5" s="17"/>
      <c r="I5" s="17"/>
      <c r="J5" s="17">
        <f>B50*B61+C50*C61</f>
        <v>1015.4974166652194</v>
      </c>
      <c r="K5" s="17"/>
      <c r="L5" s="17"/>
      <c r="M5" s="17"/>
      <c r="N5" s="17">
        <f>B48*B59+C48*C59</f>
        <v>17374.926096607887</v>
      </c>
      <c r="O5" s="17">
        <f>B69*B70*B71</f>
        <v>247.00666666666669</v>
      </c>
      <c r="P5" s="17">
        <f>B77*B78*B79/1000-B77*B78*B79/1000/B80</f>
        <v>686.4</v>
      </c>
    </row>
    <row r="6" spans="1:16">
      <c r="A6" s="16" t="s">
        <v>621</v>
      </c>
      <c r="B6" s="843">
        <f>kWh_PV_kleiner_dan_10kW</f>
        <v>2861.4879037269429</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20968.925678907442</v>
      </c>
      <c r="C8" s="21">
        <f>C5</f>
        <v>0</v>
      </c>
      <c r="D8" s="21">
        <f>D5</f>
        <v>42684.583672067238</v>
      </c>
      <c r="E8" s="21">
        <f>E5</f>
        <v>8171.835665017602</v>
      </c>
      <c r="F8" s="21">
        <f>F5</f>
        <v>11137.140913170606</v>
      </c>
      <c r="G8" s="21"/>
      <c r="H8" s="21"/>
      <c r="I8" s="21"/>
      <c r="J8" s="21">
        <f>J5</f>
        <v>1015.4974166652194</v>
      </c>
      <c r="K8" s="21"/>
      <c r="L8" s="21">
        <f>L5</f>
        <v>0</v>
      </c>
      <c r="M8" s="21">
        <f>M5</f>
        <v>0</v>
      </c>
      <c r="N8" s="21">
        <f>N5</f>
        <v>17374.926096607887</v>
      </c>
      <c r="O8" s="21">
        <f>O5</f>
        <v>247.00666666666669</v>
      </c>
      <c r="P8" s="21">
        <f>P5</f>
        <v>686.4</v>
      </c>
    </row>
    <row r="9" spans="1:16">
      <c r="B9" s="19"/>
      <c r="C9" s="19"/>
      <c r="D9" s="258"/>
      <c r="E9" s="19"/>
      <c r="F9" s="19"/>
      <c r="G9" s="19"/>
      <c r="H9" s="19"/>
      <c r="I9" s="19"/>
      <c r="J9" s="19"/>
      <c r="K9" s="19"/>
      <c r="L9" s="19"/>
      <c r="M9" s="19"/>
      <c r="N9" s="19"/>
      <c r="O9" s="19"/>
      <c r="P9" s="19"/>
    </row>
    <row r="10" spans="1:16">
      <c r="A10" s="24" t="s">
        <v>214</v>
      </c>
      <c r="B10" s="25">
        <f ca="1">'EF ele_warmte'!B12</f>
        <v>0.20256462646913723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4247.5625976069859</v>
      </c>
      <c r="C12" s="23">
        <f ca="1">C10*C8</f>
        <v>0</v>
      </c>
      <c r="D12" s="23">
        <f>D8*D10</f>
        <v>8622.2859017575829</v>
      </c>
      <c r="E12" s="23">
        <f>E10*E8</f>
        <v>1855.0066959589958</v>
      </c>
      <c r="F12" s="23">
        <f>F10*F8</f>
        <v>2973.616623816552</v>
      </c>
      <c r="G12" s="23"/>
      <c r="H12" s="23"/>
      <c r="I12" s="23"/>
      <c r="J12" s="23">
        <f>J10*J8</f>
        <v>359.48608549948761</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1630</v>
      </c>
      <c r="C18" s="166" t="s">
        <v>111</v>
      </c>
      <c r="D18" s="228"/>
      <c r="E18" s="15"/>
    </row>
    <row r="19" spans="1:7">
      <c r="A19" s="171" t="s">
        <v>72</v>
      </c>
      <c r="B19" s="37">
        <f>aantalw2001_ander</f>
        <v>0</v>
      </c>
      <c r="C19" s="166" t="s">
        <v>111</v>
      </c>
      <c r="D19" s="229"/>
      <c r="E19" s="15"/>
    </row>
    <row r="20" spans="1:7">
      <c r="A20" s="171" t="s">
        <v>73</v>
      </c>
      <c r="B20" s="37">
        <f>aantalw2001_propaan</f>
        <v>226</v>
      </c>
      <c r="C20" s="167">
        <f>IF(ISERROR(B20/SUM($B$20,$B$21,$B$22)*100),0,B20/SUM($B$20,$B$21,$B$22)*100)</f>
        <v>29.619921363040628</v>
      </c>
      <c r="D20" s="229"/>
      <c r="E20" s="15"/>
    </row>
    <row r="21" spans="1:7">
      <c r="A21" s="171" t="s">
        <v>74</v>
      </c>
      <c r="B21" s="37">
        <f>aantalw2001_elektriciteit</f>
        <v>396</v>
      </c>
      <c r="C21" s="167">
        <f>IF(ISERROR(B21/SUM($B$20,$B$21,$B$22)*100),0,B21/SUM($B$20,$B$21,$B$22)*100)</f>
        <v>51.900393184796854</v>
      </c>
      <c r="D21" s="229"/>
      <c r="E21" s="15"/>
    </row>
    <row r="22" spans="1:7">
      <c r="A22" s="171" t="s">
        <v>75</v>
      </c>
      <c r="B22" s="37">
        <f>aantalw2001_hout</f>
        <v>141</v>
      </c>
      <c r="C22" s="167">
        <f>IF(ISERROR(B22/SUM($B$20,$B$21,$B$22)*100),0,B22/SUM($B$20,$B$21,$B$22)*100)</f>
        <v>18.479685452162517</v>
      </c>
      <c r="D22" s="229"/>
      <c r="E22" s="15"/>
    </row>
    <row r="23" spans="1:7">
      <c r="A23" s="171" t="s">
        <v>76</v>
      </c>
      <c r="B23" s="37">
        <f>aantalw2001_niet_gespec</f>
        <v>107</v>
      </c>
      <c r="C23" s="166" t="s">
        <v>111</v>
      </c>
      <c r="D23" s="228"/>
      <c r="E23" s="15"/>
    </row>
    <row r="24" spans="1:7">
      <c r="A24" s="171" t="s">
        <v>77</v>
      </c>
      <c r="B24" s="37">
        <f>aantalw2001_steenkool</f>
        <v>138</v>
      </c>
      <c r="C24" s="166" t="s">
        <v>111</v>
      </c>
      <c r="D24" s="229"/>
      <c r="E24" s="15"/>
    </row>
    <row r="25" spans="1:7">
      <c r="A25" s="171" t="s">
        <v>78</v>
      </c>
      <c r="B25" s="37">
        <f>aantalw2001_stookolie</f>
        <v>1413</v>
      </c>
      <c r="C25" s="166" t="s">
        <v>111</v>
      </c>
      <c r="D25" s="228"/>
      <c r="E25" s="52"/>
    </row>
    <row r="26" spans="1:7">
      <c r="A26" s="171" t="s">
        <v>79</v>
      </c>
      <c r="B26" s="37">
        <f>aantalw2001_WP</f>
        <v>4</v>
      </c>
      <c r="C26" s="166" t="s">
        <v>111</v>
      </c>
      <c r="D26" s="228"/>
      <c r="E26" s="15"/>
    </row>
    <row r="27" spans="1:7" s="15" customFormat="1">
      <c r="A27" s="171"/>
      <c r="B27" s="29"/>
      <c r="C27" s="36"/>
      <c r="D27" s="228"/>
    </row>
    <row r="28" spans="1:7" s="15" customFormat="1">
      <c r="A28" s="230" t="s">
        <v>794</v>
      </c>
      <c r="B28" s="37">
        <f>aantalHuishoudens2011</f>
        <v>4520</v>
      </c>
      <c r="C28" s="36"/>
      <c r="D28" s="228"/>
    </row>
    <row r="29" spans="1:7" s="15" customFormat="1">
      <c r="A29" s="230" t="s">
        <v>795</v>
      </c>
      <c r="B29" s="37">
        <f>SUM(HH_hh_gas_aantal,HH_rest_gas_aantal)</f>
        <v>2722</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2722</v>
      </c>
      <c r="C32" s="167">
        <f>IF(ISERROR(B32/SUM($B$32,$B$34,$B$35,$B$36,$B$38,$B$39)*100),0,B32/SUM($B$32,$B$34,$B$35,$B$36,$B$38,$B$39)*100)</f>
        <v>60.704727921498659</v>
      </c>
      <c r="D32" s="233"/>
      <c r="G32" s="15"/>
    </row>
    <row r="33" spans="1:7">
      <c r="A33" s="171" t="s">
        <v>72</v>
      </c>
      <c r="B33" s="34" t="s">
        <v>111</v>
      </c>
      <c r="C33" s="167"/>
      <c r="D33" s="233"/>
      <c r="G33" s="15"/>
    </row>
    <row r="34" spans="1:7">
      <c r="A34" s="171" t="s">
        <v>73</v>
      </c>
      <c r="B34" s="33">
        <f>IF((($B$28-$B$32-$B$39-$B$77-$B$38)*C20/100)&lt;0,0,($B$28-$B$32-$B$39-$B$77-$B$38)*C20/100)</f>
        <v>385.94757536041942</v>
      </c>
      <c r="C34" s="167">
        <f>IF(ISERROR(B34/SUM($B$32,$B$34,$B$35,$B$36,$B$38,$B$39)*100),0,B34/SUM($B$32,$B$34,$B$35,$B$36,$B$38,$B$39)*100)</f>
        <v>8.6072162212403978</v>
      </c>
      <c r="D34" s="233"/>
      <c r="G34" s="15"/>
    </row>
    <row r="35" spans="1:7">
      <c r="A35" s="171" t="s">
        <v>74</v>
      </c>
      <c r="B35" s="33">
        <f>IF((($B$28-$B$32-$B$39-$B$77-$B$38)*C21/100)&lt;0,0,($B$28-$B$32-$B$39-$B$77-$B$38)*C21/100)</f>
        <v>676.26212319790318</v>
      </c>
      <c r="C35" s="167">
        <f>IF(ISERROR(B35/SUM($B$32,$B$34,$B$35,$B$36,$B$38,$B$39)*100),0,B35/SUM($B$32,$B$34,$B$35,$B$36,$B$38,$B$39)*100)</f>
        <v>15.081670900934505</v>
      </c>
      <c r="D35" s="233"/>
      <c r="G35" s="15"/>
    </row>
    <row r="36" spans="1:7">
      <c r="A36" s="171" t="s">
        <v>75</v>
      </c>
      <c r="B36" s="33">
        <f>IF((($B$28-$B$32-$B$39-$B$77-$B$38)*C22/100)&lt;0,0,($B$28-$B$32-$B$39-$B$77-$B$38)*C22/100)</f>
        <v>240.79030144167766</v>
      </c>
      <c r="C36" s="167">
        <f>IF(ISERROR(B36/SUM($B$32,$B$34,$B$35,$B$36,$B$38,$B$39)*100),0,B36/SUM($B$32,$B$34,$B$35,$B$36,$B$38,$B$39)*100)</f>
        <v>5.3699888813933461</v>
      </c>
      <c r="D36" s="233"/>
      <c r="G36" s="15"/>
    </row>
    <row r="37" spans="1:7">
      <c r="A37" s="171" t="s">
        <v>76</v>
      </c>
      <c r="B37" s="34" t="s">
        <v>111</v>
      </c>
      <c r="C37" s="167"/>
      <c r="D37" s="173"/>
      <c r="G37" s="15"/>
    </row>
    <row r="38" spans="1:7">
      <c r="A38" s="171" t="s">
        <v>77</v>
      </c>
      <c r="B38" s="33">
        <f>IF((B24-(B29-B18)*0.1)&lt;0,0,B24-(B29-B18)*0.1)</f>
        <v>28.799999999999997</v>
      </c>
      <c r="C38" s="167">
        <f>IF(ISERROR(B38/SUM($B$32,$B$34,$B$35,$B$36,$B$38,$B$39)*100),0,B38/SUM($B$32,$B$34,$B$35,$B$36,$B$38,$B$39)*100)</f>
        <v>0.6422836752899197</v>
      </c>
      <c r="D38" s="234"/>
      <c r="G38" s="15"/>
    </row>
    <row r="39" spans="1:7">
      <c r="A39" s="171" t="s">
        <v>78</v>
      </c>
      <c r="B39" s="33">
        <f>IF((B25-(B29-B18))&lt;0,0,B25-(B29-B18)*0.9)</f>
        <v>430.19999999999993</v>
      </c>
      <c r="C39" s="167">
        <f>IF(ISERROR(B39/SUM($B$32,$B$34,$B$35,$B$36,$B$38,$B$39)*100),0,B39/SUM($B$32,$B$34,$B$35,$B$36,$B$38,$B$39)*100)</f>
        <v>9.5941123996431745</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2722</v>
      </c>
      <c r="C44" s="34" t="s">
        <v>111</v>
      </c>
      <c r="D44" s="174"/>
    </row>
    <row r="45" spans="1:7">
      <c r="A45" s="171" t="s">
        <v>72</v>
      </c>
      <c r="B45" s="33" t="str">
        <f t="shared" si="0"/>
        <v>-</v>
      </c>
      <c r="C45" s="34" t="s">
        <v>111</v>
      </c>
      <c r="D45" s="174"/>
    </row>
    <row r="46" spans="1:7">
      <c r="A46" s="171" t="s">
        <v>73</v>
      </c>
      <c r="B46" s="33">
        <f t="shared" si="0"/>
        <v>385.94757536041942</v>
      </c>
      <c r="C46" s="34" t="s">
        <v>111</v>
      </c>
      <c r="D46" s="174"/>
    </row>
    <row r="47" spans="1:7">
      <c r="A47" s="171" t="s">
        <v>74</v>
      </c>
      <c r="B47" s="33">
        <f t="shared" si="0"/>
        <v>676.26212319790318</v>
      </c>
      <c r="C47" s="34" t="s">
        <v>111</v>
      </c>
      <c r="D47" s="174"/>
    </row>
    <row r="48" spans="1:7">
      <c r="A48" s="171" t="s">
        <v>75</v>
      </c>
      <c r="B48" s="33">
        <f t="shared" si="0"/>
        <v>240.79030144167766</v>
      </c>
      <c r="C48" s="33">
        <f>B48*10</f>
        <v>2407.9030144167764</v>
      </c>
      <c r="D48" s="234"/>
    </row>
    <row r="49" spans="1:6">
      <c r="A49" s="171" t="s">
        <v>76</v>
      </c>
      <c r="B49" s="33" t="str">
        <f t="shared" si="0"/>
        <v>-</v>
      </c>
      <c r="C49" s="34" t="s">
        <v>111</v>
      </c>
      <c r="D49" s="234"/>
    </row>
    <row r="50" spans="1:6">
      <c r="A50" s="171" t="s">
        <v>77</v>
      </c>
      <c r="B50" s="33">
        <f t="shared" si="0"/>
        <v>28.799999999999997</v>
      </c>
      <c r="C50" s="33">
        <f>B50*2</f>
        <v>57.599999999999994</v>
      </c>
      <c r="D50" s="234"/>
    </row>
    <row r="51" spans="1:6">
      <c r="A51" s="171" t="s">
        <v>78</v>
      </c>
      <c r="B51" s="33">
        <f t="shared" si="0"/>
        <v>430.19999999999993</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158</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36</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12885.871976308743</v>
      </c>
      <c r="C5" s="17">
        <f>IF(ISERROR('Eigen informatie GS &amp; warmtenet'!B58),0,'Eigen informatie GS &amp; warmtenet'!B58)</f>
        <v>0</v>
      </c>
      <c r="D5" s="30">
        <f>SUM(D6:D12)</f>
        <v>15228.813677868497</v>
      </c>
      <c r="E5" s="17">
        <f>SUM(E6:E12)</f>
        <v>182.24758193892583</v>
      </c>
      <c r="F5" s="17">
        <f>SUM(F6:F12)</f>
        <v>2170.2439261656723</v>
      </c>
      <c r="G5" s="18"/>
      <c r="H5" s="17"/>
      <c r="I5" s="17"/>
      <c r="J5" s="17">
        <f>SUM(J6:J12)</f>
        <v>2.8355833905795741E-2</v>
      </c>
      <c r="K5" s="17"/>
      <c r="L5" s="17"/>
      <c r="M5" s="17"/>
      <c r="N5" s="17">
        <f>SUM(N6:N12)</f>
        <v>1128.1978385115867</v>
      </c>
      <c r="O5" s="17">
        <f>B38*B39*B40</f>
        <v>3.1266666666666669</v>
      </c>
      <c r="P5" s="17">
        <f>B46*B47*B48/1000-B46*B47*B48/1000/B49</f>
        <v>38.133333333333333</v>
      </c>
      <c r="R5" s="32"/>
    </row>
    <row r="6" spans="1:18">
      <c r="A6" s="32" t="s">
        <v>54</v>
      </c>
      <c r="B6" s="37">
        <f>B26</f>
        <v>2676.9760240057103</v>
      </c>
      <c r="C6" s="33"/>
      <c r="D6" s="37">
        <f>IF(ISERROR(TER_kantoor_gas_kWh/1000),0,TER_kantoor_gas_kWh/1000)*0.902</f>
        <v>4912.59994377159</v>
      </c>
      <c r="E6" s="33">
        <f>$C$26*'E Balans VL '!I12/100/3.6*1000000</f>
        <v>1.6778395370190768E-2</v>
      </c>
      <c r="F6" s="33">
        <f>$C$26*('E Balans VL '!L12+'E Balans VL '!N12)/100/3.6*1000000</f>
        <v>402.27469456381425</v>
      </c>
      <c r="G6" s="34"/>
      <c r="H6" s="33"/>
      <c r="I6" s="33"/>
      <c r="J6" s="33">
        <f>$C$26*('E Balans VL '!D12+'E Balans VL '!E12)/100/3.6*1000000</f>
        <v>0</v>
      </c>
      <c r="K6" s="33"/>
      <c r="L6" s="33"/>
      <c r="M6" s="33"/>
      <c r="N6" s="33">
        <f>$C$26*'E Balans VL '!Y12/100/3.6*1000000</f>
        <v>2.5601306617078676</v>
      </c>
      <c r="O6" s="33"/>
      <c r="P6" s="33"/>
      <c r="R6" s="32"/>
    </row>
    <row r="7" spans="1:18">
      <c r="A7" s="32" t="s">
        <v>53</v>
      </c>
      <c r="B7" s="37">
        <f t="shared" ref="B7:B12" si="0">B27</f>
        <v>2661.8125116036103</v>
      </c>
      <c r="C7" s="33"/>
      <c r="D7" s="37">
        <f>IF(ISERROR(TER_horeca_gas_kWh/1000),0,TER_horeca_gas_kWh/1000)*0.902</f>
        <v>3572.4435133492639</v>
      </c>
      <c r="E7" s="33">
        <f>$C$27*'E Balans VL '!I9/100/3.6*1000000</f>
        <v>38.116711792838387</v>
      </c>
      <c r="F7" s="33">
        <f>$C$27*('E Balans VL '!L9+'E Balans VL '!N9)/100/3.6*1000000</f>
        <v>337.07325392783372</v>
      </c>
      <c r="G7" s="34"/>
      <c r="H7" s="33"/>
      <c r="I7" s="33"/>
      <c r="J7" s="33">
        <f>$C$27*('E Balans VL '!D9+'E Balans VL '!E9)/100/3.6*1000000</f>
        <v>0</v>
      </c>
      <c r="K7" s="33"/>
      <c r="L7" s="33"/>
      <c r="M7" s="33"/>
      <c r="N7" s="33">
        <f>$C$27*'E Balans VL '!Y9/100/3.6*1000000</f>
        <v>0.76521240915790911</v>
      </c>
      <c r="O7" s="33"/>
      <c r="P7" s="33"/>
      <c r="R7" s="32"/>
    </row>
    <row r="8" spans="1:18">
      <c r="A8" s="6" t="s">
        <v>52</v>
      </c>
      <c r="B8" s="37">
        <f t="shared" si="0"/>
        <v>2662.1651186741201</v>
      </c>
      <c r="C8" s="33"/>
      <c r="D8" s="37">
        <f>IF(ISERROR(TER_handel_gas_kWh/1000),0,TER_handel_gas_kWh/1000)*0.902</f>
        <v>1753.9612122584031</v>
      </c>
      <c r="E8" s="33">
        <f>$C$28*'E Balans VL '!I13/100/3.6*1000000</f>
        <v>96.556400570815498</v>
      </c>
      <c r="F8" s="33">
        <f>$C$28*('E Balans VL '!L13+'E Balans VL '!N13)/100/3.6*1000000</f>
        <v>512.75995799227962</v>
      </c>
      <c r="G8" s="34"/>
      <c r="H8" s="33"/>
      <c r="I8" s="33"/>
      <c r="J8" s="33">
        <f>$C$28*('E Balans VL '!D13+'E Balans VL '!E13)/100/3.6*1000000</f>
        <v>0</v>
      </c>
      <c r="K8" s="33"/>
      <c r="L8" s="33"/>
      <c r="M8" s="33"/>
      <c r="N8" s="33">
        <f>$C$28*'E Balans VL '!Y13/100/3.6*1000000</f>
        <v>3.6877112262391365</v>
      </c>
      <c r="O8" s="33"/>
      <c r="P8" s="33"/>
      <c r="R8" s="32"/>
    </row>
    <row r="9" spans="1:18">
      <c r="A9" s="32" t="s">
        <v>51</v>
      </c>
      <c r="B9" s="37">
        <f t="shared" si="0"/>
        <v>258.444520661681</v>
      </c>
      <c r="C9" s="33"/>
      <c r="D9" s="37">
        <f>IF(ISERROR(TER_gezond_gas_kWh/1000),0,TER_gezond_gas_kWh/1000)*0.902</f>
        <v>634.95436844263691</v>
      </c>
      <c r="E9" s="33">
        <f>$C$29*'E Balans VL '!I10/100/3.6*1000000</f>
        <v>1.6181178672075362E-2</v>
      </c>
      <c r="F9" s="33">
        <f>$C$29*('E Balans VL '!L10+'E Balans VL '!N10)/100/3.6*1000000</f>
        <v>38.392720432918821</v>
      </c>
      <c r="G9" s="34"/>
      <c r="H9" s="33"/>
      <c r="I9" s="33"/>
      <c r="J9" s="33">
        <f>$C$29*('E Balans VL '!D10+'E Balans VL '!E10)/100/3.6*1000000</f>
        <v>0</v>
      </c>
      <c r="K9" s="33"/>
      <c r="L9" s="33"/>
      <c r="M9" s="33"/>
      <c r="N9" s="33">
        <f>$C$29*'E Balans VL '!Y10/100/3.6*1000000</f>
        <v>3.9976447833594411</v>
      </c>
      <c r="O9" s="33"/>
      <c r="P9" s="33"/>
      <c r="R9" s="32"/>
    </row>
    <row r="10" spans="1:18">
      <c r="A10" s="32" t="s">
        <v>50</v>
      </c>
      <c r="B10" s="37">
        <f t="shared" si="0"/>
        <v>896.92882556970301</v>
      </c>
      <c r="C10" s="33"/>
      <c r="D10" s="37">
        <f>IF(ISERROR(TER_ander_gas_kWh/1000),0,TER_ander_gas_kWh/1000)*0.902</f>
        <v>881.15920031443136</v>
      </c>
      <c r="E10" s="33">
        <f>$C$30*'E Balans VL '!I14/100/3.6*1000000</f>
        <v>1.0691071092584972</v>
      </c>
      <c r="F10" s="33">
        <f>$C$30*('E Balans VL '!L14+'E Balans VL '!N14)/100/3.6*1000000</f>
        <v>234.67645509276443</v>
      </c>
      <c r="G10" s="34"/>
      <c r="H10" s="33"/>
      <c r="I10" s="33"/>
      <c r="J10" s="33">
        <f>$C$30*('E Balans VL '!D14+'E Balans VL '!E14)/100/3.6*1000000</f>
        <v>1.9468808939201911E-2</v>
      </c>
      <c r="K10" s="33"/>
      <c r="L10" s="33"/>
      <c r="M10" s="33"/>
      <c r="N10" s="33">
        <f>$C$30*'E Balans VL '!Y14/100/3.6*1000000</f>
        <v>761.65001113436358</v>
      </c>
      <c r="O10" s="33"/>
      <c r="P10" s="33"/>
      <c r="R10" s="32"/>
    </row>
    <row r="11" spans="1:18">
      <c r="A11" s="32" t="s">
        <v>55</v>
      </c>
      <c r="B11" s="37">
        <f t="shared" si="0"/>
        <v>59.5336818491485</v>
      </c>
      <c r="C11" s="33"/>
      <c r="D11" s="37">
        <f>IF(ISERROR(TER_onderwijs_gas_kWh/1000),0,TER_onderwijs_gas_kWh/1000)*0.902</f>
        <v>75.387999004835777</v>
      </c>
      <c r="E11" s="33">
        <f>$C$31*'E Balans VL '!I11/100/3.6*1000000</f>
        <v>0.89826737099106146</v>
      </c>
      <c r="F11" s="33">
        <f>$C$31*('E Balans VL '!L11+'E Balans VL '!N11)/100/3.6*1000000</f>
        <v>10.431252138832635</v>
      </c>
      <c r="G11" s="34"/>
      <c r="H11" s="33"/>
      <c r="I11" s="33"/>
      <c r="J11" s="33">
        <f>$C$31*('E Balans VL '!D11+'E Balans VL '!E11)/100/3.6*1000000</f>
        <v>0</v>
      </c>
      <c r="K11" s="33"/>
      <c r="L11" s="33"/>
      <c r="M11" s="33"/>
      <c r="N11" s="33">
        <f>$C$31*'E Balans VL '!Y11/100/3.6*1000000</f>
        <v>0.16753230664635368</v>
      </c>
      <c r="O11" s="33"/>
      <c r="P11" s="33"/>
      <c r="R11" s="32"/>
    </row>
    <row r="12" spans="1:18">
      <c r="A12" s="32" t="s">
        <v>260</v>
      </c>
      <c r="B12" s="37">
        <f t="shared" si="0"/>
        <v>3670.0112939447699</v>
      </c>
      <c r="C12" s="33"/>
      <c r="D12" s="37">
        <f>IF(ISERROR(TER_rest_gas_kWh/1000),0,TER_rest_gas_kWh/1000)*0.902</f>
        <v>3398.3074407273361</v>
      </c>
      <c r="E12" s="33">
        <f>$C$32*'E Balans VL '!I8/100/3.6*1000000</f>
        <v>45.574135520980121</v>
      </c>
      <c r="F12" s="33">
        <f>$C$32*('E Balans VL '!L8+'E Balans VL '!N8)/100/3.6*1000000</f>
        <v>634.63559201722876</v>
      </c>
      <c r="G12" s="34"/>
      <c r="H12" s="33"/>
      <c r="I12" s="33"/>
      <c r="J12" s="33">
        <f>$C$32*('E Balans VL '!D8+'E Balans VL '!E8)/100/3.6*1000000</f>
        <v>8.8870249665938313E-3</v>
      </c>
      <c r="K12" s="33"/>
      <c r="L12" s="33"/>
      <c r="M12" s="33"/>
      <c r="N12" s="33">
        <f>$C$32*'E Balans VL '!Y8/100/3.6*1000000</f>
        <v>355.36959599011232</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12885.871976308743</v>
      </c>
      <c r="C16" s="21">
        <f t="shared" ca="1" si="1"/>
        <v>0</v>
      </c>
      <c r="D16" s="21">
        <f t="shared" ca="1" si="1"/>
        <v>15228.813677868497</v>
      </c>
      <c r="E16" s="21">
        <f t="shared" si="1"/>
        <v>182.24758193892583</v>
      </c>
      <c r="F16" s="21">
        <f t="shared" ca="1" si="1"/>
        <v>2170.2439261656723</v>
      </c>
      <c r="G16" s="21">
        <f t="shared" si="1"/>
        <v>0</v>
      </c>
      <c r="H16" s="21">
        <f t="shared" si="1"/>
        <v>0</v>
      </c>
      <c r="I16" s="21">
        <f t="shared" si="1"/>
        <v>0</v>
      </c>
      <c r="J16" s="21">
        <f t="shared" si="1"/>
        <v>2.8355833905795741E-2</v>
      </c>
      <c r="K16" s="21">
        <f t="shared" si="1"/>
        <v>0</v>
      </c>
      <c r="L16" s="21">
        <f t="shared" ca="1" si="1"/>
        <v>0</v>
      </c>
      <c r="M16" s="21">
        <f t="shared" si="1"/>
        <v>0</v>
      </c>
      <c r="N16" s="21">
        <f t="shared" ca="1" si="1"/>
        <v>1128.1978385115867</v>
      </c>
      <c r="O16" s="21">
        <f>O5</f>
        <v>3.1266666666666669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0.20256462646913723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2610.2218436101034</v>
      </c>
      <c r="C20" s="23">
        <f t="shared" ref="C20:P20" ca="1" si="2">C16*C18</f>
        <v>0</v>
      </c>
      <c r="D20" s="23">
        <f t="shared" ca="1" si="2"/>
        <v>3076.2203629294363</v>
      </c>
      <c r="E20" s="23">
        <f t="shared" si="2"/>
        <v>41.370201100136164</v>
      </c>
      <c r="F20" s="23">
        <f t="shared" ca="1" si="2"/>
        <v>579.45512828623453</v>
      </c>
      <c r="G20" s="23">
        <f t="shared" si="2"/>
        <v>0</v>
      </c>
      <c r="H20" s="23">
        <f t="shared" si="2"/>
        <v>0</v>
      </c>
      <c r="I20" s="23">
        <f t="shared" si="2"/>
        <v>0</v>
      </c>
      <c r="J20" s="23">
        <f t="shared" si="2"/>
        <v>1.0037965202651692E-2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2676.9760240057103</v>
      </c>
      <c r="C26" s="39">
        <f>IF(ISERROR(B26*3.6/1000000/'E Balans VL '!Z12*100),0,B26*3.6/1000000/'E Balans VL '!Z12*100)</f>
        <v>5.6587032474918079E-2</v>
      </c>
      <c r="D26" s="237" t="s">
        <v>754</v>
      </c>
      <c r="F26" s="6"/>
    </row>
    <row r="27" spans="1:18">
      <c r="A27" s="231" t="s">
        <v>53</v>
      </c>
      <c r="B27" s="33">
        <f>IF(ISERROR(TER_horeca_ele_kWh/1000),0,TER_horeca_ele_kWh/1000)</f>
        <v>2661.8125116036103</v>
      </c>
      <c r="C27" s="39">
        <f>IF(ISERROR(B27*3.6/1000000/'E Balans VL '!Z9*100),0,B27*3.6/1000000/'E Balans VL '!Z9*100)</f>
        <v>0.20982968818154055</v>
      </c>
      <c r="D27" s="237" t="s">
        <v>754</v>
      </c>
      <c r="F27" s="6"/>
    </row>
    <row r="28" spans="1:18">
      <c r="A28" s="171" t="s">
        <v>52</v>
      </c>
      <c r="B28" s="33">
        <f>IF(ISERROR(TER_handel_ele_kWh/1000),0,TER_handel_ele_kWh/1000)</f>
        <v>2662.1651186741201</v>
      </c>
      <c r="C28" s="39">
        <f>IF(ISERROR(B28*3.6/1000000/'E Balans VL '!Z13*100),0,B28*3.6/1000000/'E Balans VL '!Z13*100)</f>
        <v>7.7266788096317346E-2</v>
      </c>
      <c r="D28" s="237" t="s">
        <v>754</v>
      </c>
      <c r="F28" s="6"/>
    </row>
    <row r="29" spans="1:18">
      <c r="A29" s="231" t="s">
        <v>51</v>
      </c>
      <c r="B29" s="33">
        <f>IF(ISERROR(TER_gezond_ele_kWh/1000),0,TER_gezond_ele_kWh/1000)</f>
        <v>258.444520661681</v>
      </c>
      <c r="C29" s="39">
        <f>IF(ISERROR(B29*3.6/1000000/'E Balans VL '!Z10*100),0,B29*3.6/1000000/'E Balans VL '!Z10*100)</f>
        <v>2.7218451796723428E-2</v>
      </c>
      <c r="D29" s="237" t="s">
        <v>754</v>
      </c>
      <c r="F29" s="6"/>
    </row>
    <row r="30" spans="1:18">
      <c r="A30" s="231" t="s">
        <v>50</v>
      </c>
      <c r="B30" s="33">
        <f>IF(ISERROR(TER_ander_ele_kWh/1000),0,TER_ander_ele_kWh/1000)</f>
        <v>896.92882556970301</v>
      </c>
      <c r="C30" s="39">
        <f>IF(ISERROR(B30*3.6/1000000/'E Balans VL '!Z14*100),0,B30*3.6/1000000/'E Balans VL '!Z14*100)</f>
        <v>6.6157664985993139E-2</v>
      </c>
      <c r="D30" s="237" t="s">
        <v>754</v>
      </c>
      <c r="F30" s="6"/>
    </row>
    <row r="31" spans="1:18">
      <c r="A31" s="231" t="s">
        <v>55</v>
      </c>
      <c r="B31" s="33">
        <f>IF(ISERROR(TER_onderwijs_ele_kWh/1000),0,TER_onderwijs_ele_kWh/1000)</f>
        <v>59.5336818491485</v>
      </c>
      <c r="C31" s="39">
        <f>IF(ISERROR(B31*3.6/1000000/'E Balans VL '!Z11*100),0,B31*3.6/1000000/'E Balans VL '!Z11*100)</f>
        <v>1.4785001925034963E-2</v>
      </c>
      <c r="D31" s="237" t="s">
        <v>754</v>
      </c>
    </row>
    <row r="32" spans="1:18">
      <c r="A32" s="231" t="s">
        <v>260</v>
      </c>
      <c r="B32" s="33">
        <f>IF(ISERROR(TER_rest_ele_kWh/1000),0,TER_rest_ele_kWh/1000)</f>
        <v>3670.0112939447699</v>
      </c>
      <c r="C32" s="39">
        <f>IF(ISERROR(B32*3.6/1000000/'E Balans VL '!Z8*100),0,B32*3.6/1000000/'E Balans VL '!Z8*100)</f>
        <v>3.0199321504367965E-2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2</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2747.440197539991</v>
      </c>
      <c r="C5" s="17">
        <f>IF(ISERROR('Eigen informatie GS &amp; warmtenet'!B59),0,'Eigen informatie GS &amp; warmtenet'!B59)</f>
        <v>0</v>
      </c>
      <c r="D5" s="30">
        <f>SUM(D6:D15)</f>
        <v>2136.7078605952893</v>
      </c>
      <c r="E5" s="17">
        <f>SUM(E6:E15)</f>
        <v>523.92996534065344</v>
      </c>
      <c r="F5" s="17">
        <f>SUM(F6:F15)</f>
        <v>1497.2540633858757</v>
      </c>
      <c r="G5" s="18"/>
      <c r="H5" s="17"/>
      <c r="I5" s="17"/>
      <c r="J5" s="17">
        <f>SUM(J6:J15)</f>
        <v>2.7406664451934697</v>
      </c>
      <c r="K5" s="17"/>
      <c r="L5" s="17"/>
      <c r="M5" s="17"/>
      <c r="N5" s="17">
        <f>SUM(N6:N15)</f>
        <v>727.94080830088728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174.08279692186298</v>
      </c>
      <c r="C8" s="33"/>
      <c r="D8" s="37">
        <f>IF( ISERROR(IND_metaal_Gas_kWH/1000),0,IND_metaal_Gas_kWH/1000)*0.902</f>
        <v>44.945139979063924</v>
      </c>
      <c r="E8" s="33">
        <f>C30*'E Balans VL '!I18/100/3.6*1000000</f>
        <v>1.6005231869323344</v>
      </c>
      <c r="F8" s="33">
        <f>C30*'E Balans VL '!L18/100/3.6*1000000+C30*'E Balans VL '!N18/100/3.6*1000000</f>
        <v>16.323170548283468</v>
      </c>
      <c r="G8" s="34"/>
      <c r="H8" s="33"/>
      <c r="I8" s="33"/>
      <c r="J8" s="40">
        <f>C30*'E Balans VL '!D18/100/3.6*1000000+C30*'E Balans VL '!E18/100/3.6*1000000</f>
        <v>0</v>
      </c>
      <c r="K8" s="33"/>
      <c r="L8" s="33"/>
      <c r="M8" s="33"/>
      <c r="N8" s="33">
        <f>C30*'E Balans VL '!Y18/100/3.6*1000000</f>
        <v>2.483578782026961</v>
      </c>
      <c r="O8" s="33"/>
      <c r="P8" s="33"/>
      <c r="R8" s="32"/>
    </row>
    <row r="9" spans="1:18">
      <c r="A9" s="6" t="s">
        <v>33</v>
      </c>
      <c r="B9" s="37">
        <f t="shared" si="0"/>
        <v>1641.0329773078099</v>
      </c>
      <c r="C9" s="33"/>
      <c r="D9" s="37">
        <f>IF( ISERROR(IND_andere_gas_kWh/1000),0,IND_andere_gas_kWh/1000)*0.902</f>
        <v>1528.5610834576644</v>
      </c>
      <c r="E9" s="33">
        <f>C31*'E Balans VL '!I19/100/3.6*1000000</f>
        <v>479.70588641099715</v>
      </c>
      <c r="F9" s="33">
        <f>C31*'E Balans VL '!L19/100/3.6*1000000+C31*'E Balans VL '!N19/100/3.6*1000000</f>
        <v>1318.6942120496176</v>
      </c>
      <c r="G9" s="34"/>
      <c r="H9" s="33"/>
      <c r="I9" s="33"/>
      <c r="J9" s="40">
        <f>C31*'E Balans VL '!D19/100/3.6*1000000+C31*'E Balans VL '!E19/100/3.6*1000000</f>
        <v>0</v>
      </c>
      <c r="K9" s="33"/>
      <c r="L9" s="33"/>
      <c r="M9" s="33"/>
      <c r="N9" s="33">
        <f>C31*'E Balans VL '!Y19/100/3.6*1000000</f>
        <v>542.22274631952826</v>
      </c>
      <c r="O9" s="33"/>
      <c r="P9" s="33"/>
      <c r="R9" s="32"/>
    </row>
    <row r="10" spans="1:18">
      <c r="A10" s="6" t="s">
        <v>41</v>
      </c>
      <c r="B10" s="37">
        <f t="shared" si="0"/>
        <v>166.77107060890501</v>
      </c>
      <c r="C10" s="33"/>
      <c r="D10" s="37">
        <f>IF( ISERROR(IND_voed_gas_kWh/1000),0,IND_voed_gas_kWh/1000)*0.902</f>
        <v>134.67518841836625</v>
      </c>
      <c r="E10" s="33">
        <f>C32*'E Balans VL '!I20/100/3.6*1000000</f>
        <v>0.35280678568921431</v>
      </c>
      <c r="F10" s="33">
        <f>C32*'E Balans VL '!L20/100/3.6*1000000+C32*'E Balans VL '!N20/100/3.6*1000000</f>
        <v>10.603475020967318</v>
      </c>
      <c r="G10" s="34"/>
      <c r="H10" s="33"/>
      <c r="I10" s="33"/>
      <c r="J10" s="40">
        <f>C32*'E Balans VL '!D20/100/3.6*1000000+C32*'E Balans VL '!E20/100/3.6*1000000</f>
        <v>0</v>
      </c>
      <c r="K10" s="33"/>
      <c r="L10" s="33"/>
      <c r="M10" s="33"/>
      <c r="N10" s="33">
        <f>C32*'E Balans VL '!Y20/100/3.6*1000000</f>
        <v>11.508849609152112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765.55335270141302</v>
      </c>
      <c r="C15" s="33"/>
      <c r="D15" s="37">
        <f>IF( ISERROR(IND_rest_gas_kWh/1000),0,IND_rest_gas_kWh/1000)*0.902</f>
        <v>428.52644874019472</v>
      </c>
      <c r="E15" s="33">
        <f>C37*'E Balans VL '!I15/100/3.6*1000000</f>
        <v>42.270748957034741</v>
      </c>
      <c r="F15" s="33">
        <f>C37*'E Balans VL '!L15/100/3.6*1000000+C37*'E Balans VL '!N15/100/3.6*1000000</f>
        <v>151.63320576700718</v>
      </c>
      <c r="G15" s="34"/>
      <c r="H15" s="33"/>
      <c r="I15" s="33"/>
      <c r="J15" s="40">
        <f>C37*'E Balans VL '!D15/100/3.6*1000000+C37*'E Balans VL '!E15/100/3.6*1000000</f>
        <v>2.7406664451934697</v>
      </c>
      <c r="K15" s="33"/>
      <c r="L15" s="33"/>
      <c r="M15" s="33"/>
      <c r="N15" s="33">
        <f>C37*'E Balans VL '!Y15/100/3.6*1000000</f>
        <v>171.72563359018</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2747.440197539991</v>
      </c>
      <c r="C18" s="21">
        <f>C5+C16</f>
        <v>0</v>
      </c>
      <c r="D18" s="21">
        <f>MAX((D5+D16),0)</f>
        <v>2136.7078605952893</v>
      </c>
      <c r="E18" s="21">
        <f>MAX((E5+E16),0)</f>
        <v>523.92996534065344</v>
      </c>
      <c r="F18" s="21">
        <f>MAX((F5+F16),0)</f>
        <v>1497.2540633858757</v>
      </c>
      <c r="G18" s="21"/>
      <c r="H18" s="21"/>
      <c r="I18" s="21"/>
      <c r="J18" s="21">
        <f>MAX((J5+J16),0)</f>
        <v>2.7406664451934697</v>
      </c>
      <c r="K18" s="21"/>
      <c r="L18" s="21">
        <f>MAX((L5+L16),0)</f>
        <v>0</v>
      </c>
      <c r="M18" s="21"/>
      <c r="N18" s="21">
        <f>MAX((N5+N16),0)</f>
        <v>727.94080830088728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0.20256462646913723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556.5341973609809</v>
      </c>
      <c r="C22" s="23">
        <f ca="1">C18*C20</f>
        <v>0</v>
      </c>
      <c r="D22" s="23">
        <f>D18*D20</f>
        <v>431.61498784024849</v>
      </c>
      <c r="E22" s="23">
        <f>E18*E20</f>
        <v>118.93210213232834</v>
      </c>
      <c r="F22" s="23">
        <f>F18*F20</f>
        <v>399.76683492402884</v>
      </c>
      <c r="G22" s="23"/>
      <c r="H22" s="23"/>
      <c r="I22" s="23"/>
      <c r="J22" s="23">
        <f>J18*J20</f>
        <v>0.97019592159848822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174.08279692186298</v>
      </c>
      <c r="C30" s="39">
        <f>IF(ISERROR(B30*3.6/1000000/'E Balans VL '!Z18*100),0,B30*3.6/1000000/'E Balans VL '!Z18*100)</f>
        <v>9.8657184790485308E-3</v>
      </c>
      <c r="D30" s="237" t="s">
        <v>754</v>
      </c>
    </row>
    <row r="31" spans="1:18">
      <c r="A31" s="6" t="s">
        <v>33</v>
      </c>
      <c r="B31" s="37">
        <f>IF( ISERROR(IND_ander_ele_kWh/1000),0,IND_ander_ele_kWh/1000)</f>
        <v>1641.0329773078099</v>
      </c>
      <c r="C31" s="39">
        <f>IF(ISERROR(B31*3.6/1000000/'E Balans VL '!Z19*100),0,B31*3.6/1000000/'E Balans VL '!Z19*100)</f>
        <v>7.4430422708293503E-2</v>
      </c>
      <c r="D31" s="237" t="s">
        <v>754</v>
      </c>
    </row>
    <row r="32" spans="1:18">
      <c r="A32" s="171" t="s">
        <v>41</v>
      </c>
      <c r="B32" s="37">
        <f>IF( ISERROR(IND_voed_ele_kWh/1000),0,IND_voed_ele_kWh/1000)</f>
        <v>166.77107060890501</v>
      </c>
      <c r="C32" s="39">
        <f>IF(ISERROR(B32*3.6/1000000/'E Balans VL '!Z20*100),0,B32*3.6/1000000/'E Balans VL '!Z20*100)</f>
        <v>5.1589862906698475E-3</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765.55335270141302</v>
      </c>
      <c r="C37" s="39">
        <f>IF(ISERROR(B37*3.6/1000000/'E Balans VL '!Z15*100),0,B37*3.6/1000000/'E Balans VL '!Z15*100)</f>
        <v>6.067950509092309E-3</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3096.7215129670099</v>
      </c>
      <c r="C5" s="17">
        <f>'Eigen informatie GS &amp; warmtenet'!B60</f>
        <v>0</v>
      </c>
      <c r="D5" s="30">
        <f>IF(ISERROR(SUM(LB_lb_gas_kWh,LB_rest_gas_kWh,onbekend_gas_kWh)/1000),0,SUM(LB_lb_gas_kWh,LB_rest_gas_kWh,onbekend_gas_kWh)/1000)*0.902</f>
        <v>3464.3607592831841</v>
      </c>
      <c r="E5" s="17">
        <f>B17*'E Balans VL '!I25/3.6*1000000/100</f>
        <v>91.022103745312876</v>
      </c>
      <c r="F5" s="17">
        <f>B17*('E Balans VL '!L25/3.6*1000000+'E Balans VL '!N25/3.6*1000000)/100</f>
        <v>12900.77448497319</v>
      </c>
      <c r="G5" s="18"/>
      <c r="H5" s="17"/>
      <c r="I5" s="17"/>
      <c r="J5" s="17">
        <f>('E Balans VL '!D25+'E Balans VL '!E25)/3.6*1000000*landbouw!B17/100</f>
        <v>448.64844437317811</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3096.7215129670099</v>
      </c>
      <c r="C8" s="21">
        <f>C5+C6</f>
        <v>0</v>
      </c>
      <c r="D8" s="21">
        <f>MAX((D5+D6),0)</f>
        <v>3464.3607592831841</v>
      </c>
      <c r="E8" s="21">
        <f>MAX((E5+E6),0)</f>
        <v>91.022103745312876</v>
      </c>
      <c r="F8" s="21">
        <f>MAX((F5+F6),0)</f>
        <v>12900.77448497319</v>
      </c>
      <c r="G8" s="21"/>
      <c r="H8" s="21"/>
      <c r="I8" s="21"/>
      <c r="J8" s="21">
        <f>MAX((J5+J6),0)</f>
        <v>448.64844437317811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0.20256462646913723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627.28623655310389</v>
      </c>
      <c r="C12" s="23">
        <f ca="1">C8*C10</f>
        <v>0</v>
      </c>
      <c r="D12" s="23">
        <f>D8*D10</f>
        <v>699.8008733752032</v>
      </c>
      <c r="E12" s="23">
        <f>E8*E10</f>
        <v>20.662017550186022</v>
      </c>
      <c r="F12" s="23">
        <f>F8*F10</f>
        <v>3444.5067874878418</v>
      </c>
      <c r="G12" s="23"/>
      <c r="H12" s="23"/>
      <c r="I12" s="23"/>
      <c r="J12" s="23">
        <f>J8*J10</f>
        <v>158.82154930810503</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0.43943449835746806</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1044.9320607221084</v>
      </c>
      <c r="C26" s="247">
        <f>B26*'GWP N2O_CH4'!B5</f>
        <v>21943.573275164275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241.17181367007885</v>
      </c>
      <c r="C27" s="247">
        <f>B27*'GWP N2O_CH4'!B5</f>
        <v>5064.608087071656</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13.767779132760115</v>
      </c>
      <c r="C28" s="247">
        <f>B28*'GWP N2O_CH4'!B4</f>
        <v>4268.0115311556356</v>
      </c>
      <c r="D28" s="50"/>
    </row>
    <row r="29" spans="1:4">
      <c r="A29" s="41" t="s">
        <v>277</v>
      </c>
      <c r="B29" s="247">
        <f>B34*'ha_N2O bodem landbouw'!B4</f>
        <v>43.620893474150016</v>
      </c>
      <c r="C29" s="247">
        <f>B29*'GWP N2O_CH4'!B4</f>
        <v>13522.476976986505</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9.9541375665146339E-3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2.1740031903661402E-4</v>
      </c>
      <c r="C5" s="463" t="s">
        <v>211</v>
      </c>
      <c r="D5" s="448">
        <f>SUM(D6:D11)</f>
        <v>7.9082289372300126E-4</v>
      </c>
      <c r="E5" s="448">
        <f>SUM(E6:E11)</f>
        <v>1.0483715540453404E-3</v>
      </c>
      <c r="F5" s="461" t="s">
        <v>211</v>
      </c>
      <c r="G5" s="448">
        <f>SUM(G6:G11)</f>
        <v>0.42722700532549251</v>
      </c>
      <c r="H5" s="448">
        <f>SUM(H6:H11)</f>
        <v>8.8962824889642425E-2</v>
      </c>
      <c r="I5" s="463" t="s">
        <v>211</v>
      </c>
      <c r="J5" s="463" t="s">
        <v>211</v>
      </c>
      <c r="K5" s="463" t="s">
        <v>211</v>
      </c>
      <c r="L5" s="463" t="s">
        <v>211</v>
      </c>
      <c r="M5" s="448">
        <f>SUM(M6:M11)</f>
        <v>2.7601409243472635E-2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1.5794390754297498E-4</v>
      </c>
      <c r="C6" s="449"/>
      <c r="D6" s="962">
        <f>vkm_2011_GW_PW*SUMIFS(TableVerdeelsleutelVkm[CNG],TableVerdeelsleutelVkm[Voertuigtype],"Lichte voertuigen")*SUMIFS(TableECFTransport[EnergieConsumptieFactor (PJ per km)],TableECFTransport[Index],CONCATENATE($A6,"_CNG_CNG"))</f>
        <v>4.7374107107175039E-4</v>
      </c>
      <c r="E6" s="962">
        <f>vkm_2011_GW_PW*SUMIFS(TableVerdeelsleutelVkm[LPG],TableVerdeelsleutelVkm[Voertuigtype],"Lichte voertuigen")*SUMIFS(TableECFTransport[EnergieConsumptieFactor (PJ per km)],TableECFTransport[Index],CONCATENATE($A6,"_LPG_LPG"))</f>
        <v>6.4719835263523512E-4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0.16733582595786609</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5.3873171309868399E-2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1.1375464585019505E-2</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0.1260717014412189</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3.8417372193036165E-5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7.367211611063477E-3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5.9456411493639044E-5</v>
      </c>
      <c r="C8" s="449"/>
      <c r="D8" s="451">
        <f>vkm_2011_NGW_PW*SUMIFS(TableVerdeelsleutelVkm[CNG],TableVerdeelsleutelVkm[Voertuigtype],"Lichte voertuigen")*SUMIFS(TableECFTransport[EnergieConsumptieFactor (PJ per km)],TableECFTransport[Index],CONCATENATE($A8,"_CNG_CNG"))</f>
        <v>3.1708182265125092E-4</v>
      </c>
      <c r="E8" s="451">
        <f>vkm_2011_NGW_PW*SUMIFS(TableVerdeelsleutelVkm[LPG],TableVerdeelsleutelVkm[Voertuigtype],"Lichte voertuigen")*SUMIFS(TableECFTransport[EnergieConsumptieFactor (PJ per km)],TableECFTransport[Index],CONCATENATE($A8,"_LPG_LPG"))</f>
        <v>4.0117320141010523E-4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9.6660724833928333E-2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3.5040576344531935E-2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6.6873185852073577E-3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3.715875309247918E-2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1.0659863049052787E-5</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2.171414462182292E-3</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60.388977510170562</v>
      </c>
      <c r="C14" s="21"/>
      <c r="D14" s="21">
        <f t="shared" ref="D14:M14" si="0">((D5)*10^9/3600)+D12</f>
        <v>219.67302603416701</v>
      </c>
      <c r="E14" s="21">
        <f t="shared" si="0"/>
        <v>291.21432056815013</v>
      </c>
      <c r="F14" s="21"/>
      <c r="G14" s="21">
        <f t="shared" si="0"/>
        <v>118674.16814597014</v>
      </c>
      <c r="H14" s="21">
        <f t="shared" si="0"/>
        <v>24711.895802678453</v>
      </c>
      <c r="I14" s="21"/>
      <c r="J14" s="21"/>
      <c r="K14" s="21"/>
      <c r="L14" s="21"/>
      <c r="M14" s="21">
        <f t="shared" si="0"/>
        <v>7667.0581231868437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0.20256462646913723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12.232670672200829</v>
      </c>
      <c r="C18" s="23"/>
      <c r="D18" s="23">
        <f t="shared" ref="D18:M18" si="1">D14*D16</f>
        <v>44.373951258901741</v>
      </c>
      <c r="E18" s="23">
        <f t="shared" si="1"/>
        <v>66.105650768970079</v>
      </c>
      <c r="F18" s="23"/>
      <c r="G18" s="23">
        <f t="shared" si="1"/>
        <v>31686.002894974026</v>
      </c>
      <c r="H18" s="23">
        <f t="shared" si="1"/>
        <v>6153.2620548669347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4.9050548395157181E-3</v>
      </c>
      <c r="H50" s="321">
        <f t="shared" si="2"/>
        <v>0</v>
      </c>
      <c r="I50" s="321">
        <f t="shared" si="2"/>
        <v>0</v>
      </c>
      <c r="J50" s="321">
        <f t="shared" si="2"/>
        <v>0</v>
      </c>
      <c r="K50" s="321">
        <f t="shared" si="2"/>
        <v>0</v>
      </c>
      <c r="L50" s="321">
        <f t="shared" si="2"/>
        <v>0</v>
      </c>
      <c r="M50" s="321">
        <f t="shared" si="2"/>
        <v>2.7858546114523325E-4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4.9050548395157181E-3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2.7858546114523325E-4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1362.5152331988104</v>
      </c>
      <c r="H54" s="21">
        <f t="shared" si="3"/>
        <v>0</v>
      </c>
      <c r="I54" s="21">
        <f t="shared" si="3"/>
        <v>0</v>
      </c>
      <c r="J54" s="21">
        <f t="shared" si="3"/>
        <v>0</v>
      </c>
      <c r="K54" s="21">
        <f t="shared" si="3"/>
        <v>0</v>
      </c>
      <c r="L54" s="21">
        <f t="shared" si="3"/>
        <v>0</v>
      </c>
      <c r="M54" s="21">
        <f t="shared" si="3"/>
        <v>77.384850318120343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0.20256462646913723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363.7915672640824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0</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3392.227628931767</v>
      </c>
      <c r="C6" s="1204"/>
      <c r="D6" s="1189"/>
      <c r="E6" s="1189"/>
      <c r="F6" s="1207"/>
      <c r="G6" s="1210"/>
      <c r="H6" s="1201"/>
      <c r="I6" s="1189"/>
      <c r="J6" s="1189"/>
      <c r="K6" s="1189"/>
      <c r="L6" s="1193"/>
      <c r="M6" s="575"/>
      <c r="N6" s="1167"/>
      <c r="O6" s="1168"/>
      <c r="Q6" s="573"/>
      <c r="R6" s="1155"/>
      <c r="S6" s="1155"/>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3392.227628931767</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2018-09-06T12:47:26Z</dcterms:modified>
</cp:coreProperties>
</file>