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31" i="48"/>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D31" i="48"/>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56" i="22"/>
  <c r="C58" s="1"/>
  <c r="D44" i="14" s="1"/>
  <c r="D46" s="1"/>
  <c r="C16" i="22"/>
  <c r="O13" i="14"/>
  <c r="O15" s="1"/>
  <c r="C10" i="13"/>
  <c r="C16" i="48" s="1"/>
  <c r="C30" s="1"/>
  <c r="F41" i="14"/>
  <c r="F53" s="1"/>
  <c r="C17" i="49"/>
  <c r="C10" i="17"/>
  <c r="C12" s="1"/>
  <c r="D48" i="14" s="1"/>
  <c r="Q5" i="48"/>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<sst xmlns="http://schemas.openxmlformats.org/spreadsheetml/2006/main" count="1941" uniqueCount="822">
  <si>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</si>
  <si>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</si>
  <si>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</si>
  <si>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</si>
  <si>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</si>
  <si>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</si>
  <si>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</si>
  <si>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</si>
  <si>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</si>
  <si>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</si>
  <si>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</si>
  <si>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</si>
  <si>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</si>
  <si>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</si>
  <si>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</si>
  <si>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</si>
  <si>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</si>
  <si>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</si>
  <si>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</si>
  <si>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</si>
  <si>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</si>
  <si>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</si>
  <si>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</si>
  <si>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</si>
  <si>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</si>
  <si>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</si>
  <si>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</si>
  <si>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</si>
  <si>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</si>
  <si>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</si>
  <si>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</si>
  <si>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</si>
  <si>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</si>
  <si>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</si>
  <si>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</si>
  <si>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</si>
  <si>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</si>
  <si>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</si>
  <si>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</si>
  <si>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</si>
  <si>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</si>
  <si>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</si>
  <si>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</si>
  <si>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</si>
  <si>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</si>
  <si>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</si>
  <si>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</si>
  <si>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</si>
  <si>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</si>
  <si>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</si>
  <si>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</si>
  <si>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</si>
  <si>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</si>
  <si>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</si>
  <si>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</si>
  <si>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</si>
  <si>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</si>
  <si>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</si>
  <si>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</si>
  <si>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</si>
  <si>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</si>
  <si>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</si>
  <si>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</si>
  <si>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</si>
  <si>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</si>
  <si>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</si>
  <si>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</si>
  <si>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</si>
  <si>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</si>
  <si>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</si>
  <si>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</si>
  <si>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</si>
  <si>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</si>
  <si>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</si>
  <si>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</si>
  <si>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</si>
  <si>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</si>
  <si>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</si>
  <si>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</si>
  <si>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</si>
  <si>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</si>
  <si>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</si>
  <si>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</si>
  <si>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</si>
  <si>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</si>
  <si>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</si>
  <si>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</si>
  <si>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</si>
  <si>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</si>
  <si>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</si>
  <si>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</si>
  <si>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</si>
  <si>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</si>
  <si>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</si>
  <si>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</si>
  <si>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</si>
  <si>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</si>
  <si>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</si>
  <si>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</si>
  <si>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</si>
  <si>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</si>
  <si>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</si>
  <si>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</si>
  <si>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</si>
  <si>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</si>
  <si>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</si>
  <si>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</si>
  <si>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</si>
  <si>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</si>
  <si>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</si>
  <si>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</si>
  <si>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</si>
  <si>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</si>
  <si>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</si>
  <si>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</si>
  <si>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</si>
  <si>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</si>
  <si>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</si>
  <si>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</si>
  <si>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</si>
  <si>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</si>
  <si>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</si>
  <si>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</si>
  <si>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</si>
  <si>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</si>
  <si>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</si>
  <si>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</si>
  <si>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</si>
  <si>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</si>
  <si>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</si>
  <si>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</si>
  <si>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</si>
  <si>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</si>
  <si>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</si>
  <si>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</si>
  <si>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</si>
  <si>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</si>
  <si>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</si>
  <si>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</si>
  <si>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</si>
  <si>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</si>
  <si>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</si>
  <si>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</si>
  <si>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</si>
  <si>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</si>
  <si>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</si>
  <si>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</si>
  <si>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</si>
  <si>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</si>
  <si>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</si>
  <si>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</si>
  <si>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</si>
  <si>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</si>
  <si>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</si>
  <si>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</si>
  <si>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</si>
  <si>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</si>
  <si>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</si>
  <si>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</si>
  <si>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</si>
  <si>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</si>
  <si>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</si>
  <si>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</si>
  <si>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</si>
  <si>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</si>
  <si>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</si>
  <si>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</si>
  <si>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</si>
  <si>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</si>
  <si>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</si>
  <si>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</si>
  <si>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</si>
  <si>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</si>
  <si>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</si>
  <si>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</si>
  <si>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</si>
  <si>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</si>
  <si>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</si>
  <si>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</si>
  <si>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</si>
  <si>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</si>
  <si>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</si>
  <si>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</si>
  <si>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</si>
  <si>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</si>
  <si>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</si>
  <si>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</si>
  <si>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</si>
  <si>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</si>
  <si>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</si>
  <si>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</si>
  <si>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</si>
  <si>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</si>
  <si>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</si>
  <si>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</si>
  <si>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</si>
  <si>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</si>
  <si>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</si>
  <si>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</si>
  <si>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</si>
  <si>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</si>
  <si>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</si>
  <si>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</si>
  <si>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</si>
  <si>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</si>
  <si>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</si>
  <si>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</si>
  <si>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</si>
  <si>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</si>
  <si>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</si>
  <si>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</si>
  <si>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</si>
  <si>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</si>
  <si>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</si>
  <si>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</si>
  <si>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</si>
  <si>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</si>
  <si>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</si>
  <si>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</si>
  <si>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</si>
  <si>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</si>
  <si>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</si>
  <si>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</si>
  <si>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</si>
  <si>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</si>
  <si>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</si>
  <si>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</si>
  <si>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</si>
  <si>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</si>
  <si>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</si>
  <si>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</si>
  <si>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</si>
  <si>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</si>
  <si>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</si>
  <si>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</si>
  <si>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</si>
  <si>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</si>
  <si>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</si>
  <si>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</si>
  <si>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</si>
  <si>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</si>
  <si>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</si>
  <si>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</si>
  <si>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</si>
  <si>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</si>
  <si>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</si>
  <si>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</si>
  <si>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</si>
  <si>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</si>
  <si>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</si>
  <si>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</si>
  <si>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</si>
  <si>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</si>
  <si>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</si>
  <si>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</si>
  <si>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</si>
  <si>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</si>
  <si>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</si>
  <si>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</si>
  <si>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</si>
  <si>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</si>
  <si>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</si>
  <si>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</si>
  <si>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</si>
  <si>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</si>
  <si>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</si>
  <si>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</si>
  <si>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</si>
  <si>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</si>
  <si>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</si>
  <si>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</si>
  <si>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</si>
  <si>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</si>
  <si>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</si>
  <si>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</si>
  <si>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</si>
  <si>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</si>
  <si>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</si>
  <si>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</si>
  <si>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</si>
  <si>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</si>
  <si>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</si>
  <si>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</si>
  <si>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</si>
  <si>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</si>
  <si>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</si>
  <si>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</si>
  <si>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</si>
  <si>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</si>
  <si>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</si>
  <si>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</si>
  <si>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</si>
  <si>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</si>
  <si>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</si>
  <si>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</si>
  <si>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</si>
  <si>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</si>
  <si>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</si>
  <si>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</si>
  <si>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</si>
  <si>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</si>
  <si>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</si>
  <si>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</si>
  <si>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</si>
  <si>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</si>
  <si>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</si>
  <si>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</si>
  <si>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</si>
  <si>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</si>
  <si>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</si>
  <si>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</si>
  <si>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</si>
  <si>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</si>
  <si>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</si>
  <si>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</si>
  <si>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</si>
  <si>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</si>
  <si>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</si>
  <si>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</si>
  <si>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</si>
  <si>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</si>
  <si>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</si>
  <si>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</si>
  <si>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</si>
  <si>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</si>
  <si>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</si>
  <si>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</si>
  <si>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</si>
  <si>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</si>
  <si>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</si>
  <si>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</si>
  <si>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</si>
  <si>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</si>
  <si>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</si>
  <si>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</si>
  <si>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</si>
  <si>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</si>
  <si>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</si>
  <si>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</si>
  <si>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</si>
  <si>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</si>
  <si>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</si>
  <si>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</si>
  <si>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</si>
  <si>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</si>
  <si>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</si>
  <si>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</si>
  <si>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</si>
  <si>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</si>
  <si>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</si>
  <si>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</si>
  <si>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</si>
  <si>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</si>
  <si>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</si>
  <si>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</si>
  <si>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</si>
  <si>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</si>
  <si>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</si>
  <si>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</si>
  <si>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</si>
  <si>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</si>
  <si>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</si>
  <si>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</si>
  <si>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</si>
  <si>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</si>
  <si>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</si>
  <si>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</si>
  <si>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</si>
  <si>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</si>
  <si>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</si>
  <si>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</si>
  <si>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</si>
  <si>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</si>
  <si>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</si>
  <si>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</si>
  <si>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</si>
  <si>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</si>
  <si>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</si>
  <si>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</si>
  <si>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</si>
  <si>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</si>
  <si>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</si>
  <si>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</si>
  <si>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</si>
  <si>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</si>
  <si>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</si>
  <si>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</si>
  <si>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</si>
  <si>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</si>
  <si>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</si>
  <si>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</si>
  <si>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</si>
  <si>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</si>
  <si>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</si>
  <si>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</si>
  <si>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</si>
  <si>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</si>
  <si>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</si>
  <si>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</si>
  <si>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</si>
  <si>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</si>
  <si>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</si>
  <si>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</si>
  <si>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</si>
  <si>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</si>
  <si>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</si>
  <si>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</si>
  <si>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</si>
  <si>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</si>
  <si>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</si>
  <si>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</si>
  <si>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</si>
  <si>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</si>
  <si>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</si>
  <si>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</si>
  <si>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</si>
  <si>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</si>
  <si>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</si>
  <si>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</si>
  <si>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</si>
  <si>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</si>
  <si>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</si>
  <si>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</si>
  <si>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</si>
  <si>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</si>
  <si>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</si>
  <si>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</si>
  <si>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</si>
  <si>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</si>
  <si>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</si>
  <si>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</si>
  <si>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</si>
  <si>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</si>
  <si>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</si>
  <si>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</si>
  <si>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</si>
  <si>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</si>
  <si>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</si>
  <si>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</si>
  <si>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</si>
  <si>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</si>
  <si>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</si>
  <si>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</si>
  <si>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</si>
  <si>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</si>
  <si>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</si>
  <si>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</si>
  <si>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</si>
  <si>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</si>
  <si>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</si>
  <si>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</si>
  <si>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</si>
  <si>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</si>
  <si>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</si>
  <si>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</si>
  <si>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</si>
  <si>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</si>
  <si>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</si>
  <si>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</si>
  <si>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</si>
  <si>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</si>
  <si>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</si>
  <si>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</si>
  <si>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</si>
  <si>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</si>
  <si>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</si>
  <si>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</si>
  <si>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</si>
  <si>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</si>
  <si>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</si>
  <si>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</si>
  <si>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</si>
  <si>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</si>
  <si>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</si>
  <si>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</si>
  <si>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</si>
  <si>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</si>
  <si>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</si>
  <si>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</si>
  <si>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</si>
  <si>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</si>
  <si>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</si>
  <si>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</si>
  <si>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</si>
  <si>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</si>
  <si>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</si>
  <si>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</si>
  <si>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</si>
  <si>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</si>
  <si>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</si>
  <si>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</si>
  <si>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</si>
  <si>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</si>
  <si>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</si>
  <si>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</si>
  <si>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</si>
  <si>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</si>
  <si>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</si>
  <si>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</si>
  <si>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</si>
  <si>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</si>
  <si>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</si>
  <si>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</si>
  <si>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</si>
  <si>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</si>
  <si>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</si>
  <si>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</si>
  <si>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</si>
  <si>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</si>
  <si>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</si>
  <si>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</si>
  <si>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</si>
  <si>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</si>
  <si>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</si>
  <si>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</si>
  <si>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</si>
  <si>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</si>
  <si>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</si>
  <si>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</si>
  <si>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</si>
  <si>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</si>
  <si>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</si>
  <si>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</si>
  <si>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</si>
  <si>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</si>
  <si>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</si>
  <si>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</si>
  <si>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</si>
  <si>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</si>
  <si>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</si>
  <si>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</si>
  <si>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</si>
  <si>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</si>
  <si>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</si>
  <si>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</si>
  <si>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</si>
  <si>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</si>
  <si>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</si>
  <si>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</si>
  <si>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</si>
  <si>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</si>
  <si>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</si>
  <si>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</si>
  <si>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</si>
  <si>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</si>
  <si>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</si>
  <si>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</si>
  <si>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</si>
  <si>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</si>
  <si>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</si>
  <si>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</si>
  <si>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</si>
  <si>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</si>
  <si>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</si>
  <si>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</si>
  <si>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</si>
  <si>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</si>
  <si>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</si>
  <si>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</si>
  <si>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</si>
  <si>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</si>
  <si>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</si>
  <si>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</si>
  <si>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</si>
  <si>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</si>
  <si>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</si>
  <si>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</si>
  <si>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</si>
  <si>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</si>
  <si>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</si>
  <si>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</si>
  <si>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</si>
  <si>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</si>
  <si>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</si>
  <si>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</si>
  <si>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</si>
  <si>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</si>
  <si>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</si>
  <si>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</si>
  <si>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</si>
  <si>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</si>
  <si>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</si>
  <si>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</si>
  <si>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</si>
  <si>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</si>
  <si>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</si>
  <si>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</si>
  <si>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</si>
  <si>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</si>
  <si>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</si>
  <si>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</si>
  <si>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</si>
  <si>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</si>
  <si>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</si>
  <si>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</si>
  <si>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</si>
  <si>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</si>
  <si>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</si>
  <si>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</si>
  <si>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</si>
  <si>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</si>
  <si>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</si>
  <si>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</si>
  <si>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</si>
  <si>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</si>
  <si>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</si>
  <si>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</si>
  <si>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</si>
  <si>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</si>
  <si>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</si>
  <si>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</si>
  <si>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</si>
  <si>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</si>
  <si>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</si>
  <si>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</si>
  <si>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</si>
  <si>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</si>
  <si>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</si>
  <si>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</si>
  <si>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</si>
  <si>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</si>
  <si>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</si>
  <si>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</si>
  <si>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</si>
  <si>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</si>
  <si>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</si>
  <si>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</si>
  <si>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</si>
  <si>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</si>
  <si>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</si>
  <si>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</si>
  <si>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</si>
  <si>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</si>
  <si>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</si>
  <si>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</si>
  <si>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</si>
  <si>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</si>
  <si>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</si>
  <si>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</si>
  <si>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</si>
  <si>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</si>
  <si>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</si>
  <si>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</si>
  <si>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</si>
  <si>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</si>
  <si>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</si>
  <si>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</si>
  <si>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</si>
  <si>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</si>
  <si>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</si>
  <si>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</si>
  <si>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</si>
  <si>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</si>
  <si>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</si>
  <si>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</si>
  <si>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</si>
  <si>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</si>
  <si>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</si>
  <si>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</si>
  <si>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</si>
  <si>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</si>
  <si>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</si>
  <si>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</si>
  <si>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</si>
  <si>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</si>
  <si>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</si>
  <si>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</si>
  <si>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</si>
  <si>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</si>
  <si>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</si>
  <si>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</si>
  <si>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</si>
  <si>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</si>
  <si>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</si>
  <si>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</si>
  <si>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</si>
  <si>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</si>
  <si>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</si>
  <si>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</si>
  <si>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</si>
  <si>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</si>
  <si>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</si>
  <si>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</si>
  <si>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</si>
  <si>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</si>
  <si>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</si>
  <si>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</si>
  <si>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</si>
  <si>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</si>
  <si>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</si>
  <si>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</si>
  <si>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</si>
  <si>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</si>
  <si>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</si>
  <si>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</si>
  <si>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</si>
  <si>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</si>
  <si>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</si>
  <si>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</si>
  <si>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</si>
  <si>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</si>
  <si>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</si>
  <si>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</si>
  <si>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</si>
  <si>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</si>
  <si>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</si>
  <si>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</si>
  <si>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</si>
  <si>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</si>
  <si>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</si>
  <si>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</si>
  <si>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</si>
  <si>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</si>
  <si>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</si>
  <si>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</si>
  <si>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</si>
  <si>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</si>
  <si>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</si>
  <si>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</si>
  <si>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</si>
  <si>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</si>
  <si>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</si>
  <si>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</si>
  <si>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</si>
  <si>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</si>
  <si>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</si>
  <si>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</si>
  <si>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</si>
  <si>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</si>
  <si>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</si>
  <si>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</si>
  <si>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</si>
  <si>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</si>
  <si>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</si>
  <si>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</si>
  <si>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</si>
  <si>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</si>
  <si>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</si>
  <si>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</si>
  <si>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</si>
  <si>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</si>
  <si>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</si>
  <si>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</si>
  <si>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</si>
  <si>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</si>
  <si>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</si>
  <si>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</si>
  <si>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</si>
  <si>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</si>
  <si>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</si>
  <si>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</si>
  <si>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</si>
  <si>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</si>
  <si>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</si>
  <si>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</si>
  <si>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</si>
  <si>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</si>
  <si>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</si>
  <si>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</si>
  <si>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</si>
  <si>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</si>
  <si>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</si>
  <si>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</si>
  <si>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</si>
  <si>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</si>
  <si>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</si>
  <si>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</si>
  <si>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</si>
  <si>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</si>
  <si>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</si>
  <si>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</si>
  <si>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</si>
  <si>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</si>
  <si>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</si>
  <si>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</si>
  <si>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</si>
  <si>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</si>
  <si>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</si>
  <si>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</si>
  <si>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</si>
  <si>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</si>
  <si>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</si>
  <si>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</si>
  <si>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</si>
  <si>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</si>
  <si>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</si>
  <si>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</si>
  <si>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</si>
  <si>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</si>
  <si>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</si>
  <si>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</si>
  <si>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</si>
  <si>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</si>
  <si>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</si>
  <si>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</si>
  <si>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</si>
  <si>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</si>
  <si>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</si>
  <si>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</si>
  <si>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</si>
  <si>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</si>
  <si>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31005</t>
  </si>
  <si>
    <t>BRUGGE</t>
  </si>
  <si>
    <t>Eandis (januari 2018); Infrax (juni 2018)</t>
  </si>
  <si>
    <t>MOW (september 2017)</t>
  </si>
  <si>
    <t>referentietaak LNE (2017); Jaarverslag De Lijn (2016)</t>
  </si>
  <si>
    <t>VEA (april 2018)</t>
  </si>
  <si>
    <t>VEA (januari 2017)</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</si>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</sst>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855804.89103950851</c:v>
                </c:pt>
                <c:pt idx="1">
                  <c:v>772015.82102364837</c:v>
                </c:pt>
                <c:pt idx="2">
                  <c:v>8014.75</c:v>
                </c:pt>
                <c:pt idx="3">
                  <c:v>87191.316575322999</c:v>
                </c:pt>
                <c:pt idx="4">
                  <c:v>337794.18770160817</c:v>
                </c:pt>
                <c:pt idx="5">
                  <c:v>731525.67074036575</c:v>
                </c:pt>
                <c:pt idx="6">
                  <c:v>24027.438163930281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855804.89103950851</c:v>
                </c:pt>
                <c:pt idx="1">
                  <c:v>772015.82102364837</c:v>
                </c:pt>
                <c:pt idx="2">
                  <c:v>8014.75</c:v>
                </c:pt>
                <c:pt idx="3">
                  <c:v>87191.316575322999</c:v>
                </c:pt>
                <c:pt idx="4">
                  <c:v>337794.18770160817</c:v>
                </c:pt>
                <c:pt idx="5">
                  <c:v>731525.67074036575</c:v>
                </c:pt>
                <c:pt idx="6">
                  <c:v>24027.438163930281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156102.38729349029</c:v>
                </c:pt>
                <c:pt idx="1">
                  <c:v>143756.56125120021</c:v>
                </c:pt>
                <c:pt idx="2">
                  <c:v>1371.1047768977476</c:v>
                </c:pt>
                <c:pt idx="3">
                  <c:v>19720.75469919742</c:v>
                </c:pt>
                <c:pt idx="4">
                  <c:v>60538.016791754198</c:v>
                </c:pt>
                <c:pt idx="5">
                  <c:v>183110.05229746978</c:v>
                </c:pt>
                <c:pt idx="6">
                  <c:v>6002.9142636494344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156102.38729349029</c:v>
                </c:pt>
                <c:pt idx="1">
                  <c:v>143756.56125120021</c:v>
                </c:pt>
                <c:pt idx="2">
                  <c:v>1371.1047768977476</c:v>
                </c:pt>
                <c:pt idx="3">
                  <c:v>19720.75469919742</c:v>
                </c:pt>
                <c:pt idx="4">
                  <c:v>60538.016791754198</c:v>
                </c:pt>
                <c:pt idx="5">
                  <c:v>183110.05229746978</c:v>
                </c:pt>
                <c:pt idx="6">
                  <c:v>6002.9142636494344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31005</v>
      </c>
      <c r="B6" s="415"/>
      <c r="C6" s="416"/>
    </row>
    <row r="7" spans="1:7" s="413" customFormat="1" ht="15.75" customHeight="1">
      <c r="A7" s="417" t="str">
        <f>txtMunicipality</f>
        <v>BRUGGE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53689</v>
      </c>
      <c r="C9" s="342">
        <v>53799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4452.8100000000004</v>
      </c>
    </row>
    <row r="15" spans="1:6">
      <c r="A15" s="348" t="s">
        <v>184</v>
      </c>
      <c r="B15" s="334">
        <v>896</v>
      </c>
    </row>
    <row r="16" spans="1:6">
      <c r="A16" s="348" t="s">
        <v>6</v>
      </c>
      <c r="B16" s="334">
        <v>1315</v>
      </c>
    </row>
    <row r="17" spans="1:6">
      <c r="A17" s="348" t="s">
        <v>7</v>
      </c>
      <c r="B17" s="334">
        <v>1285</v>
      </c>
    </row>
    <row r="18" spans="1:6">
      <c r="A18" s="348" t="s">
        <v>8</v>
      </c>
      <c r="B18" s="334">
        <v>1708</v>
      </c>
    </row>
    <row r="19" spans="1:6">
      <c r="A19" s="348" t="s">
        <v>9</v>
      </c>
      <c r="B19" s="334">
        <v>1603</v>
      </c>
    </row>
    <row r="20" spans="1:6">
      <c r="A20" s="348" t="s">
        <v>10</v>
      </c>
      <c r="B20" s="334">
        <v>1631</v>
      </c>
    </row>
    <row r="21" spans="1:6">
      <c r="A21" s="348" t="s">
        <v>11</v>
      </c>
      <c r="B21" s="334">
        <v>2690</v>
      </c>
    </row>
    <row r="22" spans="1:6">
      <c r="A22" s="348" t="s">
        <v>12</v>
      </c>
      <c r="B22" s="334">
        <v>14250</v>
      </c>
    </row>
    <row r="23" spans="1:6">
      <c r="A23" s="348" t="s">
        <v>13</v>
      </c>
      <c r="B23" s="334">
        <v>190</v>
      </c>
    </row>
    <row r="24" spans="1:6">
      <c r="A24" s="348" t="s">
        <v>14</v>
      </c>
      <c r="B24" s="334">
        <v>4</v>
      </c>
    </row>
    <row r="25" spans="1:6">
      <c r="A25" s="348" t="s">
        <v>15</v>
      </c>
      <c r="B25" s="334">
        <v>862</v>
      </c>
    </row>
    <row r="26" spans="1:6">
      <c r="A26" s="348" t="s">
        <v>16</v>
      </c>
      <c r="B26" s="334">
        <v>912</v>
      </c>
    </row>
    <row r="27" spans="1:6">
      <c r="A27" s="348" t="s">
        <v>17</v>
      </c>
      <c r="B27" s="334">
        <v>220</v>
      </c>
    </row>
    <row r="28" spans="1:6" s="356" customFormat="1">
      <c r="A28" s="355" t="s">
        <v>18</v>
      </c>
      <c r="B28" s="355">
        <v>166243</v>
      </c>
    </row>
    <row r="29" spans="1:6">
      <c r="A29" s="355" t="s">
        <v>744</v>
      </c>
      <c r="B29" s="355">
        <v>359</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921157.60366625898</v>
      </c>
    </row>
    <row r="36" spans="1:6">
      <c r="A36" s="348" t="s">
        <v>25</v>
      </c>
      <c r="B36" s="348" t="s">
        <v>27</v>
      </c>
      <c r="C36" s="334">
        <v>9</v>
      </c>
      <c r="D36" s="334">
        <v>1379112.56442439</v>
      </c>
      <c r="E36" s="334">
        <v>20</v>
      </c>
      <c r="F36" s="334">
        <v>696282.23036513</v>
      </c>
    </row>
    <row r="37" spans="1:6">
      <c r="A37" s="348" t="s">
        <v>25</v>
      </c>
      <c r="B37" s="348" t="s">
        <v>28</v>
      </c>
      <c r="C37" s="334">
        <v>0</v>
      </c>
      <c r="D37" s="334">
        <v>0</v>
      </c>
      <c r="E37" s="334">
        <v>0</v>
      </c>
      <c r="F37" s="334">
        <v>0</v>
      </c>
    </row>
    <row r="38" spans="1:6">
      <c r="A38" s="348" t="s">
        <v>25</v>
      </c>
      <c r="B38" s="348" t="s">
        <v>29</v>
      </c>
      <c r="C38" s="334">
        <v>4</v>
      </c>
      <c r="D38" s="334">
        <v>646202.53862858599</v>
      </c>
      <c r="E38" s="334">
        <v>13</v>
      </c>
      <c r="F38" s="334">
        <v>573078.092487677</v>
      </c>
    </row>
    <row r="39" spans="1:6">
      <c r="A39" s="348" t="s">
        <v>30</v>
      </c>
      <c r="B39" s="348" t="s">
        <v>31</v>
      </c>
      <c r="C39" s="334">
        <v>44469</v>
      </c>
      <c r="D39" s="334">
        <v>670364190.05148804</v>
      </c>
      <c r="E39" s="334">
        <v>52949</v>
      </c>
      <c r="F39" s="334">
        <v>174184985.66662201</v>
      </c>
    </row>
    <row r="40" spans="1:6">
      <c r="A40" s="348" t="s">
        <v>30</v>
      </c>
      <c r="B40" s="348" t="s">
        <v>29</v>
      </c>
      <c r="C40" s="334">
        <v>0</v>
      </c>
      <c r="D40" s="334">
        <v>0</v>
      </c>
      <c r="E40" s="334">
        <v>2</v>
      </c>
      <c r="F40" s="334">
        <v>28233.997880319101</v>
      </c>
    </row>
    <row r="41" spans="1:6">
      <c r="A41" s="348" t="s">
        <v>32</v>
      </c>
      <c r="B41" s="348" t="s">
        <v>33</v>
      </c>
      <c r="C41" s="334">
        <v>517</v>
      </c>
      <c r="D41" s="334">
        <v>11676359.2388735</v>
      </c>
      <c r="E41" s="334">
        <v>1016</v>
      </c>
      <c r="F41" s="334">
        <v>13332563.307293501</v>
      </c>
    </row>
    <row r="42" spans="1:6">
      <c r="A42" s="348" t="s">
        <v>32</v>
      </c>
      <c r="B42" s="348" t="s">
        <v>34</v>
      </c>
      <c r="C42" s="334">
        <v>3</v>
      </c>
      <c r="D42" s="334">
        <v>52660851.119439103</v>
      </c>
      <c r="E42" s="334">
        <v>3</v>
      </c>
      <c r="F42" s="334">
        <v>125798.318550292</v>
      </c>
    </row>
    <row r="43" spans="1:6">
      <c r="A43" s="348" t="s">
        <v>32</v>
      </c>
      <c r="B43" s="348" t="s">
        <v>35</v>
      </c>
      <c r="C43" s="334">
        <v>0</v>
      </c>
      <c r="D43" s="334">
        <v>0</v>
      </c>
      <c r="E43" s="334">
        <v>0</v>
      </c>
      <c r="F43" s="334">
        <v>0</v>
      </c>
    </row>
    <row r="44" spans="1:6">
      <c r="A44" s="348" t="s">
        <v>32</v>
      </c>
      <c r="B44" s="348" t="s">
        <v>36</v>
      </c>
      <c r="C44" s="334">
        <v>40</v>
      </c>
      <c r="D44" s="334">
        <v>2262190.1207078099</v>
      </c>
      <c r="E44" s="334">
        <v>140</v>
      </c>
      <c r="F44" s="334">
        <v>5896152.2848272296</v>
      </c>
    </row>
    <row r="45" spans="1:6">
      <c r="A45" s="348" t="s">
        <v>32</v>
      </c>
      <c r="B45" s="348" t="s">
        <v>37</v>
      </c>
      <c r="C45" s="334">
        <v>3</v>
      </c>
      <c r="D45" s="334">
        <v>85255.935846274195</v>
      </c>
      <c r="E45" s="334">
        <v>12</v>
      </c>
      <c r="F45" s="334">
        <v>1360900.3280581599</v>
      </c>
    </row>
    <row r="46" spans="1:6">
      <c r="A46" s="348" t="s">
        <v>32</v>
      </c>
      <c r="B46" s="348" t="s">
        <v>38</v>
      </c>
      <c r="C46" s="334">
        <v>0</v>
      </c>
      <c r="D46" s="334">
        <v>0</v>
      </c>
      <c r="E46" s="334">
        <v>0</v>
      </c>
      <c r="F46" s="334">
        <v>0</v>
      </c>
    </row>
    <row r="47" spans="1:6">
      <c r="A47" s="348" t="s">
        <v>32</v>
      </c>
      <c r="B47" s="348" t="s">
        <v>39</v>
      </c>
      <c r="C47" s="334">
        <v>43</v>
      </c>
      <c r="D47" s="334">
        <v>1573759.4986944201</v>
      </c>
      <c r="E47" s="334">
        <v>52</v>
      </c>
      <c r="F47" s="334">
        <v>4086912.9566502501</v>
      </c>
    </row>
    <row r="48" spans="1:6">
      <c r="A48" s="348" t="s">
        <v>32</v>
      </c>
      <c r="B48" s="348" t="s">
        <v>29</v>
      </c>
      <c r="C48" s="334">
        <v>151</v>
      </c>
      <c r="D48" s="334">
        <v>111119056.302728</v>
      </c>
      <c r="E48" s="334">
        <v>153</v>
      </c>
      <c r="F48" s="334">
        <v>58094686.495822601</v>
      </c>
    </row>
    <row r="49" spans="1:6">
      <c r="A49" s="348" t="s">
        <v>32</v>
      </c>
      <c r="B49" s="348" t="s">
        <v>40</v>
      </c>
      <c r="C49" s="334">
        <v>17</v>
      </c>
      <c r="D49" s="334">
        <v>302684.26279460901</v>
      </c>
      <c r="E49" s="334">
        <v>22</v>
      </c>
      <c r="F49" s="334">
        <v>199232.43515875601</v>
      </c>
    </row>
    <row r="50" spans="1:6">
      <c r="A50" s="348" t="s">
        <v>32</v>
      </c>
      <c r="B50" s="348" t="s">
        <v>41</v>
      </c>
      <c r="C50" s="334">
        <v>97</v>
      </c>
      <c r="D50" s="334">
        <v>9177785.2416613102</v>
      </c>
      <c r="E50" s="334">
        <v>140</v>
      </c>
      <c r="F50" s="334">
        <v>21024682.0153783</v>
      </c>
    </row>
    <row r="51" spans="1:6">
      <c r="A51" s="348" t="s">
        <v>42</v>
      </c>
      <c r="B51" s="348" t="s">
        <v>43</v>
      </c>
      <c r="C51" s="334">
        <v>126</v>
      </c>
      <c r="D51" s="334">
        <v>17314082.034275498</v>
      </c>
      <c r="E51" s="334">
        <v>312</v>
      </c>
      <c r="F51" s="334">
        <v>7336450.3408184201</v>
      </c>
    </row>
    <row r="52" spans="1:6">
      <c r="A52" s="348" t="s">
        <v>42</v>
      </c>
      <c r="B52" s="348" t="s">
        <v>29</v>
      </c>
      <c r="C52" s="334">
        <v>19</v>
      </c>
      <c r="D52" s="334">
        <v>666410.98381690704</v>
      </c>
      <c r="E52" s="334">
        <v>26</v>
      </c>
      <c r="F52" s="334">
        <v>683185.21528882894</v>
      </c>
    </row>
    <row r="53" spans="1:6">
      <c r="A53" s="348" t="s">
        <v>44</v>
      </c>
      <c r="B53" s="348" t="s">
        <v>45</v>
      </c>
      <c r="C53" s="334">
        <v>1778</v>
      </c>
      <c r="D53" s="334">
        <v>31251852.038965698</v>
      </c>
      <c r="E53" s="334">
        <v>2907</v>
      </c>
      <c r="F53" s="334">
        <v>10526881.534026699</v>
      </c>
    </row>
    <row r="54" spans="1:6">
      <c r="A54" s="348" t="s">
        <v>46</v>
      </c>
      <c r="B54" s="348" t="s">
        <v>47</v>
      </c>
      <c r="C54" s="334">
        <v>0</v>
      </c>
      <c r="D54" s="334">
        <v>0</v>
      </c>
      <c r="E54" s="334">
        <v>2</v>
      </c>
      <c r="F54" s="334">
        <v>8014750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509</v>
      </c>
      <c r="D57" s="334">
        <v>56241202.298915103</v>
      </c>
      <c r="E57" s="334">
        <v>736</v>
      </c>
      <c r="F57" s="334">
        <v>31896051.301036801</v>
      </c>
    </row>
    <row r="58" spans="1:6">
      <c r="A58" s="348" t="s">
        <v>49</v>
      </c>
      <c r="B58" s="348" t="s">
        <v>51</v>
      </c>
      <c r="C58" s="334">
        <v>411</v>
      </c>
      <c r="D58" s="334">
        <v>45560201.254201204</v>
      </c>
      <c r="E58" s="334">
        <v>541</v>
      </c>
      <c r="F58" s="334">
        <v>31395139.845539901</v>
      </c>
    </row>
    <row r="59" spans="1:6">
      <c r="A59" s="348" t="s">
        <v>49</v>
      </c>
      <c r="B59" s="348" t="s">
        <v>52</v>
      </c>
      <c r="C59" s="334">
        <v>1238</v>
      </c>
      <c r="D59" s="334">
        <v>52167910.416963898</v>
      </c>
      <c r="E59" s="334">
        <v>2057</v>
      </c>
      <c r="F59" s="334">
        <v>73435582.379291207</v>
      </c>
    </row>
    <row r="60" spans="1:6">
      <c r="A60" s="348" t="s">
        <v>49</v>
      </c>
      <c r="B60" s="348" t="s">
        <v>53</v>
      </c>
      <c r="C60" s="334">
        <v>1076</v>
      </c>
      <c r="D60" s="334">
        <v>83350897.253426298</v>
      </c>
      <c r="E60" s="334">
        <v>1264</v>
      </c>
      <c r="F60" s="334">
        <v>46467126.629106797</v>
      </c>
    </row>
    <row r="61" spans="1:6">
      <c r="A61" s="348" t="s">
        <v>49</v>
      </c>
      <c r="B61" s="348" t="s">
        <v>54</v>
      </c>
      <c r="C61" s="334">
        <v>1738</v>
      </c>
      <c r="D61" s="334">
        <v>91830534.547666907</v>
      </c>
      <c r="E61" s="334">
        <v>3317</v>
      </c>
      <c r="F61" s="334">
        <v>85211922.188226998</v>
      </c>
    </row>
    <row r="62" spans="1:6">
      <c r="A62" s="348" t="s">
        <v>49</v>
      </c>
      <c r="B62" s="348" t="s">
        <v>55</v>
      </c>
      <c r="C62" s="334">
        <v>304</v>
      </c>
      <c r="D62" s="334">
        <v>51783664.597805701</v>
      </c>
      <c r="E62" s="334">
        <v>485</v>
      </c>
      <c r="F62" s="334">
        <v>18220486.822921298</v>
      </c>
    </row>
    <row r="63" spans="1:6">
      <c r="A63" s="348" t="s">
        <v>49</v>
      </c>
      <c r="B63" s="348" t="s">
        <v>29</v>
      </c>
      <c r="C63" s="334">
        <v>386</v>
      </c>
      <c r="D63" s="334">
        <v>34588388.362048499</v>
      </c>
      <c r="E63" s="334">
        <v>341</v>
      </c>
      <c r="F63" s="334">
        <v>23206476.0678773</v>
      </c>
    </row>
    <row r="64" spans="1:6">
      <c r="A64" s="348" t="s">
        <v>56</v>
      </c>
      <c r="B64" s="348" t="s">
        <v>57</v>
      </c>
      <c r="C64" s="334">
        <v>0</v>
      </c>
      <c r="D64" s="334">
        <v>0</v>
      </c>
      <c r="E64" s="334">
        <v>0</v>
      </c>
      <c r="F64" s="334">
        <v>0</v>
      </c>
    </row>
    <row r="65" spans="1:6">
      <c r="A65" s="348" t="s">
        <v>56</v>
      </c>
      <c r="B65" s="348" t="s">
        <v>29</v>
      </c>
      <c r="C65" s="334">
        <v>20</v>
      </c>
      <c r="D65" s="334">
        <v>3213366.8076581601</v>
      </c>
      <c r="E65" s="334">
        <v>14</v>
      </c>
      <c r="F65" s="334">
        <v>274067.30031482101</v>
      </c>
    </row>
    <row r="66" spans="1:6">
      <c r="A66" s="348" t="s">
        <v>56</v>
      </c>
      <c r="B66" s="348" t="s">
        <v>58</v>
      </c>
      <c r="C66" s="334">
        <v>7</v>
      </c>
      <c r="D66" s="334">
        <v>79318.977237782907</v>
      </c>
      <c r="E66" s="334">
        <v>131</v>
      </c>
      <c r="F66" s="334">
        <v>6377374.7183667598</v>
      </c>
    </row>
    <row r="67" spans="1:6">
      <c r="A67" s="355" t="s">
        <v>56</v>
      </c>
      <c r="B67" s="355" t="s">
        <v>59</v>
      </c>
      <c r="C67" s="334">
        <v>0</v>
      </c>
      <c r="D67" s="334">
        <v>0</v>
      </c>
      <c r="E67" s="334">
        <v>0</v>
      </c>
      <c r="F67" s="334">
        <v>0</v>
      </c>
    </row>
    <row r="68" spans="1:6">
      <c r="A68" s="341" t="s">
        <v>56</v>
      </c>
      <c r="B68" s="341" t="s">
        <v>60</v>
      </c>
      <c r="C68" s="334">
        <v>29</v>
      </c>
      <c r="D68" s="334">
        <v>780384.420631374</v>
      </c>
      <c r="E68" s="334">
        <v>86</v>
      </c>
      <c r="F68" s="334">
        <v>3451175.8150667101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552447542</v>
      </c>
      <c r="E73" s="476">
        <v>578366420.49628794</v>
      </c>
    </row>
    <row r="74" spans="1:6">
      <c r="A74" s="348" t="s">
        <v>64</v>
      </c>
      <c r="B74" s="348" t="s">
        <v>657</v>
      </c>
      <c r="C74" s="1213" t="s">
        <v>659</v>
      </c>
      <c r="D74" s="476">
        <v>55282606.682504065</v>
      </c>
      <c r="E74" s="476">
        <v>56381732.594612494</v>
      </c>
    </row>
    <row r="75" spans="1:6">
      <c r="A75" s="348" t="s">
        <v>65</v>
      </c>
      <c r="B75" s="348" t="s">
        <v>656</v>
      </c>
      <c r="C75" s="1213" t="s">
        <v>660</v>
      </c>
      <c r="D75" s="476">
        <v>146220003</v>
      </c>
      <c r="E75" s="476">
        <v>156209294.93094966</v>
      </c>
    </row>
    <row r="76" spans="1:6">
      <c r="A76" s="348" t="s">
        <v>65</v>
      </c>
      <c r="B76" s="348" t="s">
        <v>657</v>
      </c>
      <c r="C76" s="1213" t="s">
        <v>661</v>
      </c>
      <c r="D76" s="476">
        <v>5902857.6825040635</v>
      </c>
      <c r="E76" s="476">
        <v>5961095.4834503606</v>
      </c>
    </row>
    <row r="77" spans="1:6">
      <c r="A77" s="348" t="s">
        <v>66</v>
      </c>
      <c r="B77" s="348" t="s">
        <v>656</v>
      </c>
      <c r="C77" s="1213" t="s">
        <v>662</v>
      </c>
      <c r="D77" s="476">
        <v>93701928</v>
      </c>
      <c r="E77" s="476">
        <v>97773621.040989205</v>
      </c>
    </row>
    <row r="78" spans="1:6">
      <c r="A78" s="341" t="s">
        <v>66</v>
      </c>
      <c r="B78" s="341" t="s">
        <v>657</v>
      </c>
      <c r="C78" s="341" t="s">
        <v>663</v>
      </c>
      <c r="D78" s="1214">
        <v>14888532</v>
      </c>
      <c r="E78" s="1214">
        <v>15216620.008963902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6291792.6349918721</v>
      </c>
      <c r="C83" s="476">
        <v>6286526.8349179998</v>
      </c>
    </row>
    <row r="84" spans="1:6">
      <c r="A84" s="341" t="s">
        <v>337</v>
      </c>
      <c r="B84" s="1214">
        <v>235189.33888333742</v>
      </c>
      <c r="C84" s="1214">
        <v>234443.89398521619</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107647.09666049988</v>
      </c>
    </row>
    <row r="91" spans="1:6">
      <c r="A91" s="348" t="s">
        <v>68</v>
      </c>
      <c r="B91" s="334">
        <v>13376.097366709271</v>
      </c>
    </row>
    <row r="92" spans="1:6">
      <c r="A92" s="341" t="s">
        <v>69</v>
      </c>
      <c r="B92" s="342">
        <v>18819.62989705498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4</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0</v>
      </c>
      <c r="C122" s="334">
        <v>0</v>
      </c>
    </row>
    <row r="123" spans="1:6">
      <c r="A123" s="348" t="s">
        <v>88</v>
      </c>
      <c r="B123" s="334">
        <v>41</v>
      </c>
      <c r="C123" s="334">
        <v>161</v>
      </c>
    </row>
    <row r="124" spans="1:6">
      <c r="A124" s="341" t="s">
        <v>89</v>
      </c>
      <c r="B124" s="334">
        <v>5</v>
      </c>
      <c r="C124" s="334">
        <v>8</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708</v>
      </c>
    </row>
    <row r="130" spans="1:6">
      <c r="A130" s="348" t="s">
        <v>295</v>
      </c>
      <c r="B130" s="334">
        <v>15</v>
      </c>
    </row>
    <row r="131" spans="1:6">
      <c r="A131" s="348" t="s">
        <v>296</v>
      </c>
      <c r="B131" s="334">
        <v>17</v>
      </c>
    </row>
    <row r="132" spans="1:6">
      <c r="A132" s="341" t="s">
        <v>297</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618928.17915879341</v>
      </c>
      <c r="C3" s="43" t="s">
        <v>170</v>
      </c>
      <c r="D3" s="43"/>
      <c r="E3" s="154"/>
      <c r="F3" s="43"/>
      <c r="G3" s="43"/>
      <c r="H3" s="43"/>
      <c r="I3" s="43"/>
      <c r="J3" s="43"/>
      <c r="K3" s="96"/>
    </row>
    <row r="4" spans="1:11">
      <c r="A4" s="383" t="s">
        <v>171</v>
      </c>
      <c r="B4" s="49">
        <f>IF(ISERROR('SEAP template'!B69),0,'SEAP template'!B69)</f>
        <v>140082.07392426414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56.714227525569719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0.1710726818550482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84.830058188716023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0.23705006280279925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8014.75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8014.75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0.1710726818550482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1371.1047768977476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174213.21966450234</v>
      </c>
      <c r="C5" s="17">
        <f>IF(ISERROR('Eigen informatie GS &amp; warmtenet'!B57),0,'Eigen informatie GS &amp; warmtenet'!B57)</f>
        <v>0</v>
      </c>
      <c r="D5" s="30">
        <f>(SUM(HH_hh_gas_kWh,HH_rest_gas_kWh)/1000)*0.902</f>
        <v>604668.4994264422</v>
      </c>
      <c r="E5" s="17">
        <f>B46*B57</f>
        <v>8228.82316062885</v>
      </c>
      <c r="F5" s="17">
        <f>B51*B62</f>
        <v>0</v>
      </c>
      <c r="G5" s="18"/>
      <c r="H5" s="17"/>
      <c r="I5" s="17"/>
      <c r="J5" s="17">
        <f>B50*B61+C50*C61</f>
        <v>0</v>
      </c>
      <c r="K5" s="17"/>
      <c r="L5" s="17"/>
      <c r="M5" s="17"/>
      <c r="N5" s="17">
        <f>B48*B59+C48*C59</f>
        <v>52269.341421225778</v>
      </c>
      <c r="O5" s="17">
        <f>B69*B70*B71</f>
        <v>1371.0433333333333</v>
      </c>
      <c r="P5" s="17">
        <f>B77*B78*B79/1000-B77*B78*B79/1000/B80</f>
        <v>1677.8666666666668</v>
      </c>
    </row>
    <row r="6" spans="1:16">
      <c r="A6" s="16" t="s">
        <v>621</v>
      </c>
      <c r="B6" s="843">
        <f>kWh_PV_kleiner_dan_10kW</f>
        <v>13376.097366709271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187589.3170312116</v>
      </c>
      <c r="C8" s="21">
        <f>C5</f>
        <v>0</v>
      </c>
      <c r="D8" s="21">
        <f>D5</f>
        <v>604668.4994264422</v>
      </c>
      <c r="E8" s="21">
        <f>E5</f>
        <v>8228.82316062885</v>
      </c>
      <c r="F8" s="21">
        <f>F5</f>
        <v>0</v>
      </c>
      <c r="G8" s="21"/>
      <c r="H8" s="21"/>
      <c r="I8" s="21"/>
      <c r="J8" s="21">
        <f>J5</f>
        <v>0</v>
      </c>
      <c r="K8" s="21"/>
      <c r="L8" s="21">
        <f>L5</f>
        <v>0</v>
      </c>
      <c r="M8" s="21">
        <f>M5</f>
        <v>0</v>
      </c>
      <c r="N8" s="21">
        <f>N5</f>
        <v>52269.341421225778</v>
      </c>
      <c r="O8" s="21">
        <f>O5</f>
        <v>1371.0433333333333</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0.1710726818550482</v>
      </c>
      <c r="C10" s="25">
        <f ca="1">'EF ele_warmte'!B22</f>
        <v>0.23705006280279925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32091.407551886237</v>
      </c>
      <c r="C12" s="23">
        <f ca="1">C10*C8</f>
        <v>0</v>
      </c>
      <c r="D12" s="23">
        <f>D8*D10</f>
        <v>122143.03688414133</v>
      </c>
      <c r="E12" s="23">
        <f>E10*E8</f>
        <v>1867.9428574627491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794</v>
      </c>
      <c r="B28" s="37">
        <f>aantalHuishoudens2011</f>
        <v>53689</v>
      </c>
      <c r="C28" s="36"/>
      <c r="D28" s="228"/>
    </row>
    <row r="29" spans="1:7" s="15" customFormat="1">
      <c r="A29" s="230" t="s">
        <v>795</v>
      </c>
      <c r="B29" s="37">
        <f>SUM(HH_hh_gas_aantal,HH_rest_gas_aantal)</f>
        <v>44469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44469</v>
      </c>
      <c r="C32" s="167">
        <f>IF(ISERROR(B32/SUM($B$32,$B$34,$B$35,$B$36,$B$38,$B$39)*100),0,B32/SUM($B$32,$B$34,$B$35,$B$36,$B$38,$B$39)*100)</f>
        <v>82.96300442155929</v>
      </c>
      <c r="D32" s="233"/>
      <c r="G32" s="15"/>
    </row>
    <row r="33" spans="1:7">
      <c r="A33" s="171" t="s">
        <v>72</v>
      </c>
      <c r="B33" s="34" t="s">
        <v>111</v>
      </c>
      <c r="C33" s="167"/>
      <c r="D33" s="233"/>
      <c r="G33" s="15"/>
    </row>
    <row r="34" spans="1:7">
      <c r="A34" s="171" t="s">
        <v>73</v>
      </c>
      <c r="B34" s="33">
        <f>IF((($B$28-$B$32-$B$39-$B$77-$B$38)*C20/100)&lt;0,0,($B$28-$B$32-$B$39-$B$77-$B$38)*C20/100)</f>
        <v>388.63903743315512</v>
      </c>
      <c r="C34" s="167">
        <f>IF(ISERROR(B34/SUM($B$32,$B$34,$B$35,$B$36,$B$38,$B$39)*100),0,B34/SUM($B$32,$B$34,$B$35,$B$36,$B$38,$B$39)*100)</f>
        <v>0.72505930380618855</v>
      </c>
      <c r="D34" s="233"/>
      <c r="G34" s="15"/>
    </row>
    <row r="35" spans="1:7">
      <c r="A35" s="171" t="s">
        <v>74</v>
      </c>
      <c r="B35" s="33">
        <f>IF((($B$28-$B$32-$B$39-$B$77-$B$38)*C21/100)&lt;0,0,($B$28-$B$32-$B$39-$B$77-$B$38)*C21/100)</f>
        <v>8018.9866310160432</v>
      </c>
      <c r="C35" s="167">
        <f>IF(ISERROR(B35/SUM($B$32,$B$34,$B$35,$B$36,$B$38,$B$39)*100),0,B35/SUM($B$32,$B$34,$B$35,$B$36,$B$38,$B$39)*100)</f>
        <v>14.960516839268005</v>
      </c>
      <c r="D35" s="233"/>
      <c r="G35" s="15"/>
    </row>
    <row r="36" spans="1:7">
      <c r="A36" s="171" t="s">
        <v>75</v>
      </c>
      <c r="B36" s="33">
        <f>IF((($B$28-$B$32-$B$39-$B$77-$B$38)*C22/100)&lt;0,0,($B$28-$B$32-$B$39-$B$77-$B$38)*C22/100)</f>
        <v>724.37433155080203</v>
      </c>
      <c r="C36" s="167">
        <f>IF(ISERROR(B36/SUM($B$32,$B$34,$B$35,$B$36,$B$38,$B$39)*100),0,B36/SUM($B$32,$B$34,$B$35,$B$36,$B$38,$B$39)*100)</f>
        <v>1.3514194353665081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44469</v>
      </c>
      <c r="C44" s="34" t="s">
        <v>111</v>
      </c>
      <c r="D44" s="174"/>
    </row>
    <row r="45" spans="1:7">
      <c r="A45" s="171" t="s">
        <v>72</v>
      </c>
      <c r="B45" s="33" t="str">
        <f t="shared" si="0"/>
        <v>-</v>
      </c>
      <c r="C45" s="34" t="s">
        <v>111</v>
      </c>
      <c r="D45" s="174"/>
    </row>
    <row r="46" spans="1:7">
      <c r="A46" s="171" t="s">
        <v>73</v>
      </c>
      <c r="B46" s="33">
        <f t="shared" si="0"/>
        <v>388.63903743315512</v>
      </c>
      <c r="C46" s="34" t="s">
        <v>111</v>
      </c>
      <c r="D46" s="174"/>
    </row>
    <row r="47" spans="1:7">
      <c r="A47" s="171" t="s">
        <v>74</v>
      </c>
      <c r="B47" s="33">
        <f t="shared" si="0"/>
        <v>8018.9866310160432</v>
      </c>
      <c r="C47" s="34" t="s">
        <v>111</v>
      </c>
      <c r="D47" s="174"/>
    </row>
    <row r="48" spans="1:7">
      <c r="A48" s="171" t="s">
        <v>75</v>
      </c>
      <c r="B48" s="33">
        <f t="shared" si="0"/>
        <v>724.37433155080203</v>
      </c>
      <c r="C48" s="33">
        <f>B48*10</f>
        <v>7243.7433155080198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309832.78523400036</v>
      </c>
      <c r="C5" s="17">
        <f>IF(ISERROR('Eigen informatie GS &amp; warmtenet'!B58),0,'Eigen informatie GS &amp; warmtenet'!B58)</f>
        <v>0</v>
      </c>
      <c r="D5" s="30">
        <f>SUM(D6:D12)</f>
        <v>374801.56445538689</v>
      </c>
      <c r="E5" s="17">
        <f>SUM(E6:E12)</f>
        <v>3932.5151194971322</v>
      </c>
      <c r="F5" s="17">
        <f>SUM(F6:F12)</f>
        <v>53048.440223459416</v>
      </c>
      <c r="G5" s="18"/>
      <c r="H5" s="17"/>
      <c r="I5" s="17"/>
      <c r="J5" s="17">
        <f>SUM(J6:J12)</f>
        <v>0.7485333121257256</v>
      </c>
      <c r="K5" s="17"/>
      <c r="L5" s="17"/>
      <c r="M5" s="17"/>
      <c r="N5" s="17">
        <f>SUM(N6:N12)</f>
        <v>30065.917457992608</v>
      </c>
      <c r="O5" s="17">
        <f>B38*B39*B40</f>
        <v>23.45</v>
      </c>
      <c r="P5" s="17">
        <f>B46*B47*B48/1000-B46*B47*B48/1000/B49</f>
        <v>400.4</v>
      </c>
      <c r="R5" s="32"/>
    </row>
    <row r="6" spans="1:18">
      <c r="A6" s="32" t="s">
        <v>54</v>
      </c>
      <c r="B6" s="37">
        <f>B26</f>
        <v>85211.922188226992</v>
      </c>
      <c r="C6" s="33"/>
      <c r="D6" s="37">
        <f>IF(ISERROR(TER_kantoor_gas_kWh/1000),0,TER_kantoor_gas_kWh/1000)*0.902</f>
        <v>82831.142161995551</v>
      </c>
      <c r="E6" s="33">
        <f>$C$26*'E Balans VL '!I12/100/3.6*1000000</f>
        <v>0.53407998723448935</v>
      </c>
      <c r="F6" s="33">
        <f>$C$26*('E Balans VL '!L12+'E Balans VL '!N12)/100/3.6*1000000</f>
        <v>12804.970856695052</v>
      </c>
      <c r="G6" s="34"/>
      <c r="H6" s="33"/>
      <c r="I6" s="33"/>
      <c r="J6" s="33">
        <f>$C$26*('E Balans VL '!D12+'E Balans VL '!E12)/100/3.6*1000000</f>
        <v>0</v>
      </c>
      <c r="K6" s="33"/>
      <c r="L6" s="33"/>
      <c r="M6" s="33"/>
      <c r="N6" s="33">
        <f>$C$26*'E Balans VL '!Y12/100/3.6*1000000</f>
        <v>81.492569519060993</v>
      </c>
      <c r="O6" s="33"/>
      <c r="P6" s="33"/>
      <c r="R6" s="32"/>
    </row>
    <row r="7" spans="1:18">
      <c r="A7" s="32" t="s">
        <v>53</v>
      </c>
      <c r="B7" s="37">
        <f t="shared" ref="B7:B12" si="0">B27</f>
        <v>46467.126629106795</v>
      </c>
      <c r="C7" s="33"/>
      <c r="D7" s="37">
        <f>IF(ISERROR(TER_horeca_gas_kWh/1000),0,TER_horeca_gas_kWh/1000)*0.902</f>
        <v>75182.509322590529</v>
      </c>
      <c r="E7" s="33">
        <f>$C$27*'E Balans VL '!I9/100/3.6*1000000</f>
        <v>665.40151338305395</v>
      </c>
      <c r="F7" s="33">
        <f>$C$27*('E Balans VL '!L9+'E Balans VL '!N9)/100/3.6*1000000</f>
        <v>5884.2707761237634</v>
      </c>
      <c r="G7" s="34"/>
      <c r="H7" s="33"/>
      <c r="I7" s="33"/>
      <c r="J7" s="33">
        <f>$C$27*('E Balans VL '!D9+'E Balans VL '!E9)/100/3.6*1000000</f>
        <v>0</v>
      </c>
      <c r="K7" s="33"/>
      <c r="L7" s="33"/>
      <c r="M7" s="33"/>
      <c r="N7" s="33">
        <f>$C$27*'E Balans VL '!Y9/100/3.6*1000000</f>
        <v>13.358274393669817</v>
      </c>
      <c r="O7" s="33"/>
      <c r="P7" s="33"/>
      <c r="R7" s="32"/>
    </row>
    <row r="8" spans="1:18">
      <c r="A8" s="6" t="s">
        <v>52</v>
      </c>
      <c r="B8" s="37">
        <f t="shared" si="0"/>
        <v>73435.582379291212</v>
      </c>
      <c r="C8" s="33"/>
      <c r="D8" s="37">
        <f>IF(ISERROR(TER_handel_gas_kWh/1000),0,TER_handel_gas_kWh/1000)*0.902</f>
        <v>47055.455196101437</v>
      </c>
      <c r="E8" s="33">
        <f>$C$28*'E Balans VL '!I13/100/3.6*1000000</f>
        <v>2663.4995172265817</v>
      </c>
      <c r="F8" s="33">
        <f>$C$28*('E Balans VL '!L13+'E Balans VL '!N13)/100/3.6*1000000</f>
        <v>14144.436748798582</v>
      </c>
      <c r="G8" s="34"/>
      <c r="H8" s="33"/>
      <c r="I8" s="33"/>
      <c r="J8" s="33">
        <f>$C$28*('E Balans VL '!D13+'E Balans VL '!E13)/100/3.6*1000000</f>
        <v>0</v>
      </c>
      <c r="K8" s="33"/>
      <c r="L8" s="33"/>
      <c r="M8" s="33"/>
      <c r="N8" s="33">
        <f>$C$28*'E Balans VL '!Y13/100/3.6*1000000</f>
        <v>101.72517836925027</v>
      </c>
      <c r="O8" s="33"/>
      <c r="P8" s="33"/>
      <c r="R8" s="32"/>
    </row>
    <row r="9" spans="1:18">
      <c r="A9" s="32" t="s">
        <v>51</v>
      </c>
      <c r="B9" s="37">
        <f t="shared" si="0"/>
        <v>31395.139845539903</v>
      </c>
      <c r="C9" s="33"/>
      <c r="D9" s="37">
        <f>IF(ISERROR(TER_gezond_gas_kWh/1000),0,TER_gezond_gas_kWh/1000)*0.902</f>
        <v>41095.301531289486</v>
      </c>
      <c r="E9" s="33">
        <f>$C$29*'E Balans VL '!I10/100/3.6*1000000</f>
        <v>1.9656457253372721</v>
      </c>
      <c r="F9" s="33">
        <f>$C$29*('E Balans VL '!L10+'E Balans VL '!N10)/100/3.6*1000000</f>
        <v>4663.8436131523576</v>
      </c>
      <c r="G9" s="34"/>
      <c r="H9" s="33"/>
      <c r="I9" s="33"/>
      <c r="J9" s="33">
        <f>$C$29*('E Balans VL '!D10+'E Balans VL '!E10)/100/3.6*1000000</f>
        <v>0</v>
      </c>
      <c r="K9" s="33"/>
      <c r="L9" s="33"/>
      <c r="M9" s="33"/>
      <c r="N9" s="33">
        <f>$C$29*'E Balans VL '!Y10/100/3.6*1000000</f>
        <v>485.62305250285505</v>
      </c>
      <c r="O9" s="33"/>
      <c r="P9" s="33"/>
      <c r="R9" s="32"/>
    </row>
    <row r="10" spans="1:18">
      <c r="A10" s="32" t="s">
        <v>50</v>
      </c>
      <c r="B10" s="37">
        <f t="shared" si="0"/>
        <v>31896.051301036801</v>
      </c>
      <c r="C10" s="33"/>
      <c r="D10" s="37">
        <f>IF(ISERROR(TER_ander_gas_kWh/1000),0,TER_ander_gas_kWh/1000)*0.902</f>
        <v>50729.564473621424</v>
      </c>
      <c r="E10" s="33">
        <f>$C$30*'E Balans VL '!I14/100/3.6*1000000</f>
        <v>38.018953378550044</v>
      </c>
      <c r="F10" s="33">
        <f>$C$30*('E Balans VL '!L14+'E Balans VL '!N14)/100/3.6*1000000</f>
        <v>8345.4250074189131</v>
      </c>
      <c r="G10" s="34"/>
      <c r="H10" s="33"/>
      <c r="I10" s="33"/>
      <c r="J10" s="33">
        <f>$C$30*('E Balans VL '!D14+'E Balans VL '!E14)/100/3.6*1000000</f>
        <v>0.69233824467670657</v>
      </c>
      <c r="K10" s="33"/>
      <c r="L10" s="33"/>
      <c r="M10" s="33"/>
      <c r="N10" s="33">
        <f>$C$30*'E Balans VL '!Y14/100/3.6*1000000</f>
        <v>27085.346279451234</v>
      </c>
      <c r="O10" s="33"/>
      <c r="P10" s="33"/>
      <c r="R10" s="32"/>
    </row>
    <row r="11" spans="1:18">
      <c r="A11" s="32" t="s">
        <v>55</v>
      </c>
      <c r="B11" s="37">
        <f t="shared" si="0"/>
        <v>18220.486822921299</v>
      </c>
      <c r="C11" s="33"/>
      <c r="D11" s="37">
        <f>IF(ISERROR(TER_onderwijs_gas_kWh/1000),0,TER_onderwijs_gas_kWh/1000)*0.902</f>
        <v>46708.865467220741</v>
      </c>
      <c r="E11" s="33">
        <f>$C$31*'E Balans VL '!I11/100/3.6*1000000</f>
        <v>274.91779927326775</v>
      </c>
      <c r="F11" s="33">
        <f>$C$31*('E Balans VL '!L11+'E Balans VL '!N11)/100/3.6*1000000</f>
        <v>3192.5203723123677</v>
      </c>
      <c r="G11" s="34"/>
      <c r="H11" s="33"/>
      <c r="I11" s="33"/>
      <c r="J11" s="33">
        <f>$C$31*('E Balans VL '!D11+'E Balans VL '!E11)/100/3.6*1000000</f>
        <v>0</v>
      </c>
      <c r="K11" s="33"/>
      <c r="L11" s="33"/>
      <c r="M11" s="33"/>
      <c r="N11" s="33">
        <f>$C$31*'E Balans VL '!Y11/100/3.6*1000000</f>
        <v>51.273835093858835</v>
      </c>
      <c r="O11" s="33"/>
      <c r="P11" s="33"/>
      <c r="R11" s="32"/>
    </row>
    <row r="12" spans="1:18">
      <c r="A12" s="32" t="s">
        <v>260</v>
      </c>
      <c r="B12" s="37">
        <f t="shared" si="0"/>
        <v>23206.476067877302</v>
      </c>
      <c r="C12" s="33"/>
      <c r="D12" s="37">
        <f>IF(ISERROR(TER_rest_gas_kWh/1000),0,TER_rest_gas_kWh/1000)*0.902</f>
        <v>31198.726302567746</v>
      </c>
      <c r="E12" s="33">
        <f>$C$32*'E Balans VL '!I8/100/3.6*1000000</f>
        <v>288.17761052310755</v>
      </c>
      <c r="F12" s="33">
        <f>$C$32*('E Balans VL '!L8+'E Balans VL '!N8)/100/3.6*1000000</f>
        <v>4012.9728489583777</v>
      </c>
      <c r="G12" s="34"/>
      <c r="H12" s="33"/>
      <c r="I12" s="33"/>
      <c r="J12" s="33">
        <f>$C$32*('E Balans VL '!D8+'E Balans VL '!E8)/100/3.6*1000000</f>
        <v>5.6195067449018983E-2</v>
      </c>
      <c r="K12" s="33"/>
      <c r="L12" s="33"/>
      <c r="M12" s="33"/>
      <c r="N12" s="33">
        <f>$C$32*'E Balans VL '!Y8/100/3.6*1000000</f>
        <v>2247.0982686626776</v>
      </c>
      <c r="O12" s="33"/>
      <c r="P12" s="33"/>
      <c r="R12" s="32"/>
    </row>
    <row r="13" spans="1:18">
      <c r="A13" s="16" t="s">
        <v>488</v>
      </c>
      <c r="B13" s="247">
        <f ca="1">'lokale energieproductie'!N90+'lokale energieproductie'!N59</f>
        <v>210.00000000000003</v>
      </c>
      <c r="C13" s="247">
        <f ca="1">'lokale energieproductie'!O90+'lokale energieproductie'!O59</f>
        <v>300.00000000000006</v>
      </c>
      <c r="D13" s="310">
        <f ca="1">('lokale energieproductie'!P59+'lokale energieproductie'!P90)*(-1)</f>
        <v>-600.00000000000011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310042.78523400036</v>
      </c>
      <c r="C16" s="21">
        <f t="shared" ca="1" si="1"/>
        <v>300.00000000000006</v>
      </c>
      <c r="D16" s="21">
        <f t="shared" ca="1" si="1"/>
        <v>374201.56445538689</v>
      </c>
      <c r="E16" s="21">
        <f t="shared" si="1"/>
        <v>3932.5151194971322</v>
      </c>
      <c r="F16" s="21">
        <f t="shared" ca="1" si="1"/>
        <v>53048.440223459416</v>
      </c>
      <c r="G16" s="21">
        <f t="shared" si="1"/>
        <v>0</v>
      </c>
      <c r="H16" s="21">
        <f t="shared" si="1"/>
        <v>0</v>
      </c>
      <c r="I16" s="21">
        <f t="shared" si="1"/>
        <v>0</v>
      </c>
      <c r="J16" s="21">
        <f t="shared" si="1"/>
        <v>0.7485333121257256</v>
      </c>
      <c r="K16" s="21">
        <f t="shared" si="1"/>
        <v>0</v>
      </c>
      <c r="L16" s="21">
        <f t="shared" ca="1" si="1"/>
        <v>0</v>
      </c>
      <c r="M16" s="21">
        <f t="shared" si="1"/>
        <v>0</v>
      </c>
      <c r="N16" s="21">
        <f t="shared" ca="1" si="1"/>
        <v>30065.917457992608</v>
      </c>
      <c r="O16" s="21">
        <f>O5</f>
        <v>23.45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0.1710726818550482</v>
      </c>
      <c r="C18" s="25">
        <f ca="1">'EF ele_warmte'!B22</f>
        <v>0.23705006280279925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53039.85075978918</v>
      </c>
      <c r="C20" s="23">
        <f t="shared" ref="C20:P20" ca="1" si="2">C16*C18</f>
        <v>71.115018840839795</v>
      </c>
      <c r="D20" s="23">
        <f t="shared" ca="1" si="2"/>
        <v>75588.716019988162</v>
      </c>
      <c r="E20" s="23">
        <f t="shared" si="2"/>
        <v>892.68093212584904</v>
      </c>
      <c r="F20" s="23">
        <f t="shared" ca="1" si="2"/>
        <v>14163.933539663665</v>
      </c>
      <c r="G20" s="23">
        <f t="shared" si="2"/>
        <v>0</v>
      </c>
      <c r="H20" s="23">
        <f t="shared" si="2"/>
        <v>0</v>
      </c>
      <c r="I20" s="23">
        <f t="shared" si="2"/>
        <v>0</v>
      </c>
      <c r="J20" s="23">
        <f t="shared" si="2"/>
        <v>0.26498079249250683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85211.922188226992</v>
      </c>
      <c r="C26" s="39">
        <f>IF(ISERROR(B26*3.6/1000000/'E Balans VL '!Z12*100),0,B26*3.6/1000000/'E Balans VL '!Z12*100)</f>
        <v>1.8012450484708213</v>
      </c>
      <c r="D26" s="237" t="s">
        <v>754</v>
      </c>
      <c r="F26" s="6"/>
    </row>
    <row r="27" spans="1:18">
      <c r="A27" s="231" t="s">
        <v>53</v>
      </c>
      <c r="B27" s="33">
        <f>IF(ISERROR(TER_horeca_ele_kWh/1000),0,TER_horeca_ele_kWh/1000)</f>
        <v>46467.126629106795</v>
      </c>
      <c r="C27" s="39">
        <f>IF(ISERROR(B27*3.6/1000000/'E Balans VL '!Z9*100),0,B27*3.6/1000000/'E Balans VL '!Z9*100)</f>
        <v>3.6629862729902181</v>
      </c>
      <c r="D27" s="237" t="s">
        <v>754</v>
      </c>
      <c r="F27" s="6"/>
    </row>
    <row r="28" spans="1:18">
      <c r="A28" s="171" t="s">
        <v>52</v>
      </c>
      <c r="B28" s="33">
        <f>IF(ISERROR(TER_handel_ele_kWh/1000),0,TER_handel_ele_kWh/1000)</f>
        <v>73435.582379291212</v>
      </c>
      <c r="C28" s="39">
        <f>IF(ISERROR(B28*3.6/1000000/'E Balans VL '!Z13*100),0,B28*3.6/1000000/'E Balans VL '!Z13*100)</f>
        <v>2.1313973136483466</v>
      </c>
      <c r="D28" s="237" t="s">
        <v>754</v>
      </c>
      <c r="F28" s="6"/>
    </row>
    <row r="29" spans="1:18">
      <c r="A29" s="231" t="s">
        <v>51</v>
      </c>
      <c r="B29" s="33">
        <f>IF(ISERROR(TER_gezond_ele_kWh/1000),0,TER_gezond_ele_kWh/1000)</f>
        <v>31395.139845539903</v>
      </c>
      <c r="C29" s="39">
        <f>IF(ISERROR(B29*3.6/1000000/'E Balans VL '!Z10*100),0,B29*3.6/1000000/'E Balans VL '!Z10*100)</f>
        <v>3.3064237475393985</v>
      </c>
      <c r="D29" s="237" t="s">
        <v>754</v>
      </c>
      <c r="F29" s="6"/>
    </row>
    <row r="30" spans="1:18">
      <c r="A30" s="231" t="s">
        <v>50</v>
      </c>
      <c r="B30" s="33">
        <f>IF(ISERROR(TER_ander_ele_kWh/1000),0,TER_ander_ele_kWh/1000)</f>
        <v>31896.051301036801</v>
      </c>
      <c r="C30" s="39">
        <f>IF(ISERROR(B30*3.6/1000000/'E Balans VL '!Z14*100),0,B30*3.6/1000000/'E Balans VL '!Z14*100)</f>
        <v>2.352659671752356</v>
      </c>
      <c r="D30" s="237" t="s">
        <v>754</v>
      </c>
      <c r="F30" s="6"/>
    </row>
    <row r="31" spans="1:18">
      <c r="A31" s="231" t="s">
        <v>55</v>
      </c>
      <c r="B31" s="33">
        <f>IF(ISERROR(TER_onderwijs_ele_kWh/1000),0,TER_onderwijs_ele_kWh/1000)</f>
        <v>18220.486822921299</v>
      </c>
      <c r="C31" s="39">
        <f>IF(ISERROR(B31*3.6/1000000/'E Balans VL '!Z11*100),0,B31*3.6/1000000/'E Balans VL '!Z11*100)</f>
        <v>4.525000375998391</v>
      </c>
      <c r="D31" s="237" t="s">
        <v>754</v>
      </c>
    </row>
    <row r="32" spans="1:18">
      <c r="A32" s="231" t="s">
        <v>260</v>
      </c>
      <c r="B32" s="33">
        <f>IF(ISERROR(TER_rest_ele_kWh/1000),0,TER_rest_ele_kWh/1000)</f>
        <v>23206.476067877302</v>
      </c>
      <c r="C32" s="39">
        <f>IF(ISERROR(B32*3.6/1000000/'E Balans VL '!Z8*100),0,B32*3.6/1000000/'E Balans VL '!Z8*100)</f>
        <v>0.19095849457290365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104120.9281417391</v>
      </c>
      <c r="C5" s="17">
        <f>IF(ISERROR('Eigen informatie GS &amp; warmtenet'!B59),0,'Eigen informatie GS &amp; warmtenet'!B59)</f>
        <v>0</v>
      </c>
      <c r="D5" s="30">
        <f>SUM(D6:D15)</f>
        <v>170349.86343211203</v>
      </c>
      <c r="E5" s="17">
        <f>SUM(E6:E15)</f>
        <v>7249.9547470687357</v>
      </c>
      <c r="F5" s="17">
        <f>SUM(F6:F15)</f>
        <v>24699.320743596778</v>
      </c>
      <c r="G5" s="18"/>
      <c r="H5" s="17"/>
      <c r="I5" s="17"/>
      <c r="J5" s="17">
        <f>SUM(J6:J15)</f>
        <v>210.84632174733056</v>
      </c>
      <c r="K5" s="17"/>
      <c r="L5" s="17"/>
      <c r="M5" s="17"/>
      <c r="N5" s="17">
        <f>SUM(N6:N15)</f>
        <v>31163.27431534417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5896.1522848272298</v>
      </c>
      <c r="C8" s="33"/>
      <c r="D8" s="37">
        <f>IF( ISERROR(IND_metaal_Gas_kWH/1000),0,IND_metaal_Gas_kWH/1000)*0.902</f>
        <v>2040.4954888784446</v>
      </c>
      <c r="E8" s="33">
        <f>C30*'E Balans VL '!I18/100/3.6*1000000</f>
        <v>54.209425700954277</v>
      </c>
      <c r="F8" s="33">
        <f>C30*'E Balans VL '!L18/100/3.6*1000000+C30*'E Balans VL '!N18/100/3.6*1000000</f>
        <v>552.86278153656474</v>
      </c>
      <c r="G8" s="34"/>
      <c r="H8" s="33"/>
      <c r="I8" s="33"/>
      <c r="J8" s="40">
        <f>C30*'E Balans VL '!D18/100/3.6*1000000+C30*'E Balans VL '!E18/100/3.6*1000000</f>
        <v>0</v>
      </c>
      <c r="K8" s="33"/>
      <c r="L8" s="33"/>
      <c r="M8" s="33"/>
      <c r="N8" s="33">
        <f>C30*'E Balans VL '!Y18/100/3.6*1000000</f>
        <v>84.11835614503282</v>
      </c>
      <c r="O8" s="33"/>
      <c r="P8" s="33"/>
      <c r="R8" s="32"/>
    </row>
    <row r="9" spans="1:18">
      <c r="A9" s="6" t="s">
        <v>33</v>
      </c>
      <c r="B9" s="37">
        <f t="shared" si="0"/>
        <v>13332.563307293502</v>
      </c>
      <c r="C9" s="33"/>
      <c r="D9" s="37">
        <f>IF( ISERROR(IND_andere_gas_kWh/1000),0,IND_andere_gas_kWh/1000)*0.902</f>
        <v>10532.076033463896</v>
      </c>
      <c r="E9" s="33">
        <f>C31*'E Balans VL '!I19/100/3.6*1000000</f>
        <v>3897.3678091152196</v>
      </c>
      <c r="F9" s="33">
        <f>C31*'E Balans VL '!L19/100/3.6*1000000+C31*'E Balans VL '!N19/100/3.6*1000000</f>
        <v>10713.723799723044</v>
      </c>
      <c r="G9" s="34"/>
      <c r="H9" s="33"/>
      <c r="I9" s="33"/>
      <c r="J9" s="40">
        <f>C31*'E Balans VL '!D19/100/3.6*1000000+C31*'E Balans VL '!E19/100/3.6*1000000</f>
        <v>0</v>
      </c>
      <c r="K9" s="33"/>
      <c r="L9" s="33"/>
      <c r="M9" s="33"/>
      <c r="N9" s="33">
        <f>C31*'E Balans VL '!Y19/100/3.6*1000000</f>
        <v>4405.285690126424</v>
      </c>
      <c r="O9" s="33"/>
      <c r="P9" s="33"/>
      <c r="R9" s="32"/>
    </row>
    <row r="10" spans="1:18">
      <c r="A10" s="6" t="s">
        <v>41</v>
      </c>
      <c r="B10" s="37">
        <f t="shared" si="0"/>
        <v>21024.682015378301</v>
      </c>
      <c r="C10" s="33"/>
      <c r="D10" s="37">
        <f>IF( ISERROR(IND_voed_gas_kWh/1000),0,IND_voed_gas_kWh/1000)*0.902</f>
        <v>8278.3622879785016</v>
      </c>
      <c r="E10" s="33">
        <f>C32*'E Balans VL '!I20/100/3.6*1000000</f>
        <v>44.478040795088454</v>
      </c>
      <c r="F10" s="33">
        <f>C32*'E Balans VL '!L20/100/3.6*1000000+C32*'E Balans VL '!N20/100/3.6*1000000</f>
        <v>1336.7707586206548</v>
      </c>
      <c r="G10" s="34"/>
      <c r="H10" s="33"/>
      <c r="I10" s="33"/>
      <c r="J10" s="40">
        <f>C32*'E Balans VL '!D20/100/3.6*1000000+C32*'E Balans VL '!E20/100/3.6*1000000</f>
        <v>0</v>
      </c>
      <c r="K10" s="33"/>
      <c r="L10" s="33"/>
      <c r="M10" s="33"/>
      <c r="N10" s="33">
        <f>C32*'E Balans VL '!Y20/100/3.6*1000000</f>
        <v>1450.9105356928355</v>
      </c>
      <c r="O10" s="33"/>
      <c r="P10" s="33"/>
      <c r="R10" s="32"/>
    </row>
    <row r="11" spans="1:18">
      <c r="A11" s="6" t="s">
        <v>40</v>
      </c>
      <c r="B11" s="37">
        <f t="shared" si="0"/>
        <v>199.232435158756</v>
      </c>
      <c r="C11" s="33"/>
      <c r="D11" s="37">
        <f>IF( ISERROR(IND_textiel_gas_kWh/1000),0,IND_textiel_gas_kWh/1000)*0.902</f>
        <v>273.02120504073736</v>
      </c>
      <c r="E11" s="33">
        <f>C33*'E Balans VL '!I21/100/3.6*1000000</f>
        <v>0.59170315528341755</v>
      </c>
      <c r="F11" s="33">
        <f>C33*'E Balans VL '!L21/100/3.6*1000000+C33*'E Balans VL '!N21/100/3.6*1000000</f>
        <v>20.127945701542281</v>
      </c>
      <c r="G11" s="34"/>
      <c r="H11" s="33"/>
      <c r="I11" s="33"/>
      <c r="J11" s="40">
        <f>C33*'E Balans VL '!D21/100/3.6*1000000+C33*'E Balans VL '!E21/100/3.6*1000000</f>
        <v>0</v>
      </c>
      <c r="K11" s="33"/>
      <c r="L11" s="33"/>
      <c r="M11" s="33"/>
      <c r="N11" s="33">
        <f>C33*'E Balans VL '!Y21/100/3.6*1000000</f>
        <v>10.98830462028433</v>
      </c>
      <c r="O11" s="33"/>
      <c r="P11" s="33"/>
      <c r="R11" s="32"/>
    </row>
    <row r="12" spans="1:18">
      <c r="A12" s="6" t="s">
        <v>37</v>
      </c>
      <c r="B12" s="37">
        <f t="shared" si="0"/>
        <v>1360.9003280581599</v>
      </c>
      <c r="C12" s="33"/>
      <c r="D12" s="37">
        <f>IF( ISERROR(IND_min_gas_kWh/1000),0,IND_min_gas_kWh/1000)*0.902</f>
        <v>76.900854133339323</v>
      </c>
      <c r="E12" s="33">
        <f>C34*'E Balans VL '!I22/100/3.6*1000000</f>
        <v>39.446896779939301</v>
      </c>
      <c r="F12" s="33">
        <f>C34*'E Balans VL '!L22/100/3.6*1000000+C34*'E Balans VL '!N22/100/3.6*1000000</f>
        <v>467.89291130284488</v>
      </c>
      <c r="G12" s="34"/>
      <c r="H12" s="33"/>
      <c r="I12" s="33"/>
      <c r="J12" s="40">
        <f>C34*'E Balans VL '!D22/100/3.6*1000000+C34*'E Balans VL '!E22/100/3.6*1000000</f>
        <v>2.236369340196219</v>
      </c>
      <c r="K12" s="33"/>
      <c r="L12" s="33"/>
      <c r="M12" s="33"/>
      <c r="N12" s="33">
        <f>C34*'E Balans VL '!Y22/100/3.6*1000000</f>
        <v>297.92344588343155</v>
      </c>
      <c r="O12" s="33"/>
      <c r="P12" s="33"/>
      <c r="R12" s="32"/>
    </row>
    <row r="13" spans="1:18">
      <c r="A13" s="6" t="s">
        <v>39</v>
      </c>
      <c r="B13" s="37">
        <f t="shared" si="0"/>
        <v>4086.9129566502502</v>
      </c>
      <c r="C13" s="33"/>
      <c r="D13" s="37">
        <f>IF( ISERROR(IND_papier_gas_kWh/1000),0,IND_papier_gas_kWh/1000)*0.902</f>
        <v>1419.5310678223668</v>
      </c>
      <c r="E13" s="33">
        <f>C35*'E Balans VL '!I23/100/3.6*1000000</f>
        <v>5.7983948157493428</v>
      </c>
      <c r="F13" s="33">
        <f>C35*'E Balans VL '!L23/100/3.6*1000000+C35*'E Balans VL '!N23/100/3.6*1000000</f>
        <v>99.776913055378401</v>
      </c>
      <c r="G13" s="34"/>
      <c r="H13" s="33"/>
      <c r="I13" s="33"/>
      <c r="J13" s="40">
        <f>C35*'E Balans VL '!D23/100/3.6*1000000+C35*'E Balans VL '!E23/100/3.6*1000000</f>
        <v>0.63207945902298535</v>
      </c>
      <c r="K13" s="33"/>
      <c r="L13" s="33"/>
      <c r="M13" s="33"/>
      <c r="N13" s="33">
        <f>C35*'E Balans VL '!Y23/100/3.6*1000000</f>
        <v>11879.688526235403</v>
      </c>
      <c r="O13" s="33"/>
      <c r="P13" s="33"/>
      <c r="R13" s="32"/>
    </row>
    <row r="14" spans="1:18">
      <c r="A14" s="6" t="s">
        <v>34</v>
      </c>
      <c r="B14" s="37">
        <f t="shared" si="0"/>
        <v>125.798318550292</v>
      </c>
      <c r="C14" s="33"/>
      <c r="D14" s="37">
        <f>IF( ISERROR(IND_chemie_gas_kWh/1000),0,IND_chemie_gas_kWh/1000)*0.902</f>
        <v>47500.087709734071</v>
      </c>
      <c r="E14" s="33">
        <f>C36*'E Balans VL '!I24/100/3.6*1000000</f>
        <v>0.30967941668679688</v>
      </c>
      <c r="F14" s="33">
        <f>C36*'E Balans VL '!L24/100/3.6*1000000+C36*'E Balans VL '!N24/100/3.6*1000000</f>
        <v>1.347042494983872</v>
      </c>
      <c r="G14" s="34"/>
      <c r="H14" s="33"/>
      <c r="I14" s="33"/>
      <c r="J14" s="40">
        <f>C36*'E Balans VL '!D24/100/3.6*1000000+C36*'E Balans VL '!E24/100/3.6*1000000</f>
        <v>0</v>
      </c>
      <c r="K14" s="33"/>
      <c r="L14" s="33"/>
      <c r="M14" s="33"/>
      <c r="N14" s="33">
        <f>C36*'E Balans VL '!Y24/100/3.6*1000000</f>
        <v>2.8093869892980514</v>
      </c>
      <c r="O14" s="33"/>
      <c r="P14" s="33"/>
      <c r="R14" s="32"/>
    </row>
    <row r="15" spans="1:18">
      <c r="A15" s="6" t="s">
        <v>270</v>
      </c>
      <c r="B15" s="37">
        <f t="shared" si="0"/>
        <v>58094.6864958226</v>
      </c>
      <c r="C15" s="33"/>
      <c r="D15" s="37">
        <f>IF( ISERROR(IND_rest_gas_kWh/1000),0,IND_rest_gas_kWh/1000)*0.902</f>
        <v>100229.38878506066</v>
      </c>
      <c r="E15" s="33">
        <f>C37*'E Balans VL '!I15/100/3.6*1000000</f>
        <v>3207.7527972898138</v>
      </c>
      <c r="F15" s="33">
        <f>C37*'E Balans VL '!L15/100/3.6*1000000+C37*'E Balans VL '!N15/100/3.6*1000000</f>
        <v>11506.818591161766</v>
      </c>
      <c r="G15" s="34"/>
      <c r="H15" s="33"/>
      <c r="I15" s="33"/>
      <c r="J15" s="40">
        <f>C37*'E Balans VL '!D15/100/3.6*1000000+C37*'E Balans VL '!E15/100/3.6*1000000</f>
        <v>207.97787294811135</v>
      </c>
      <c r="K15" s="33"/>
      <c r="L15" s="33"/>
      <c r="M15" s="33"/>
      <c r="N15" s="33">
        <f>C37*'E Balans VL '!Y15/100/3.6*1000000</f>
        <v>13031.550069651459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104120.9281417391</v>
      </c>
      <c r="C18" s="21">
        <f>C5+C16</f>
        <v>0</v>
      </c>
      <c r="D18" s="21">
        <f>MAX((D5+D16),0)</f>
        <v>170349.86343211203</v>
      </c>
      <c r="E18" s="21">
        <f>MAX((E5+E16),0)</f>
        <v>7249.9547470687357</v>
      </c>
      <c r="F18" s="21">
        <f>MAX((F5+F16),0)</f>
        <v>24699.320743596778</v>
      </c>
      <c r="G18" s="21"/>
      <c r="H18" s="21"/>
      <c r="I18" s="21"/>
      <c r="J18" s="21">
        <f>MAX((J5+J16),0)</f>
        <v>210.84632174733056</v>
      </c>
      <c r="K18" s="21"/>
      <c r="L18" s="21">
        <f>MAX((L5+L16),0)</f>
        <v>0</v>
      </c>
      <c r="M18" s="21"/>
      <c r="N18" s="21">
        <f>MAX((N5+N16),0)</f>
        <v>31163.27431534417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0.1710726818550482</v>
      </c>
      <c r="C20" s="25">
        <f ca="1">'EF ele_warmte'!B22</f>
        <v>0.23705006280279925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17812.246414444067</v>
      </c>
      <c r="C22" s="23">
        <f ca="1">C18*C20</f>
        <v>0</v>
      </c>
      <c r="D22" s="23">
        <f>D18*D20</f>
        <v>34410.672413286637</v>
      </c>
      <c r="E22" s="23">
        <f>E18*E20</f>
        <v>1645.7397275846031</v>
      </c>
      <c r="F22" s="23">
        <f>F18*F20</f>
        <v>6594.7186385403402</v>
      </c>
      <c r="G22" s="23"/>
      <c r="H22" s="23"/>
      <c r="I22" s="23"/>
      <c r="J22" s="23">
        <f>J18*J20</f>
        <v>74.63959789855501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5896.1522848272298</v>
      </c>
      <c r="C30" s="39">
        <f>IF(ISERROR(B30*3.6/1000000/'E Balans VL '!Z18*100),0,B30*3.6/1000000/'E Balans VL '!Z18*100)</f>
        <v>0.33415006870445507</v>
      </c>
      <c r="D30" s="237" t="s">
        <v>754</v>
      </c>
    </row>
    <row r="31" spans="1:18">
      <c r="A31" s="6" t="s">
        <v>33</v>
      </c>
      <c r="B31" s="37">
        <f>IF( ISERROR(IND_ander_ele_kWh/1000),0,IND_ander_ele_kWh/1000)</f>
        <v>13332.563307293502</v>
      </c>
      <c r="C31" s="39">
        <f>IF(ISERROR(B31*3.6/1000000/'E Balans VL '!Z19*100),0,B31*3.6/1000000/'E Balans VL '!Z19*100)</f>
        <v>0.60470955579145769</v>
      </c>
      <c r="D31" s="237" t="s">
        <v>754</v>
      </c>
    </row>
    <row r="32" spans="1:18">
      <c r="A32" s="171" t="s">
        <v>41</v>
      </c>
      <c r="B32" s="37">
        <f>IF( ISERROR(IND_voed_ele_kWh/1000),0,IND_voed_ele_kWh/1000)</f>
        <v>21024.682015378301</v>
      </c>
      <c r="C32" s="39">
        <f>IF(ISERROR(B32*3.6/1000000/'E Balans VL '!Z20*100),0,B32*3.6/1000000/'E Balans VL '!Z20*100)</f>
        <v>0.65038885873313967</v>
      </c>
      <c r="D32" s="237" t="s">
        <v>754</v>
      </c>
    </row>
    <row r="33" spans="1:5">
      <c r="A33" s="171" t="s">
        <v>40</v>
      </c>
      <c r="B33" s="37">
        <f>IF( ISERROR(IND_textiel_ele_kWh/1000),0,IND_textiel_ele_kWh/1000)</f>
        <v>199.232435158756</v>
      </c>
      <c r="C33" s="39">
        <f>IF(ISERROR(B33*3.6/1000000/'E Balans VL '!Z21*100),0,B33*3.6/1000000/'E Balans VL '!Z21*100)</f>
        <v>2.5977694963418212E-2</v>
      </c>
      <c r="D33" s="237" t="s">
        <v>754</v>
      </c>
    </row>
    <row r="34" spans="1:5">
      <c r="A34" s="171" t="s">
        <v>37</v>
      </c>
      <c r="B34" s="37">
        <f>IF( ISERROR(IND_min_ele_kWh/1000),0,IND_min_ele_kWh/1000)</f>
        <v>1360.9003280581599</v>
      </c>
      <c r="C34" s="39">
        <f>IF(ISERROR(B34*3.6/1000000/'E Balans VL '!Z22*100),0,B34*3.6/1000000/'E Balans VL '!Z22*100)</f>
        <v>0.24478350941643121</v>
      </c>
      <c r="D34" s="237" t="s">
        <v>754</v>
      </c>
    </row>
    <row r="35" spans="1:5">
      <c r="A35" s="171" t="s">
        <v>39</v>
      </c>
      <c r="B35" s="37">
        <f>IF( ISERROR(IND_papier_ele_kWh/1000),0,IND_papier_ele_kWh/1000)</f>
        <v>4086.9129566502502</v>
      </c>
      <c r="C35" s="39">
        <f>IF(ISERROR(B35*3.6/1000000/'E Balans VL '!Z22*100),0,B35*3.6/1000000/'E Balans VL '!Z22*100)</f>
        <v>0.73510813068565706</v>
      </c>
      <c r="D35" s="237" t="s">
        <v>754</v>
      </c>
    </row>
    <row r="36" spans="1:5">
      <c r="A36" s="171" t="s">
        <v>34</v>
      </c>
      <c r="B36" s="37">
        <f>IF( ISERROR(IND_chemie_ele_kWh/1000),0,IND_chemie_ele_kWh/1000)</f>
        <v>125.798318550292</v>
      </c>
      <c r="C36" s="39">
        <f>IF(ISERROR(B36*3.6/1000000/'E Balans VL '!Z24*100),0,B36*3.6/1000000/'E Balans VL '!Z24*100)</f>
        <v>3.8360970542059805E-3</v>
      </c>
      <c r="D36" s="237" t="s">
        <v>754</v>
      </c>
    </row>
    <row r="37" spans="1:5">
      <c r="A37" s="171" t="s">
        <v>270</v>
      </c>
      <c r="B37" s="37">
        <f>IF( ISERROR(IND_rest_ele_kWh/1000),0,IND_rest_ele_kWh/1000)</f>
        <v>58094.6864958226</v>
      </c>
      <c r="C37" s="39">
        <f>IF(ISERROR(B37*3.6/1000000/'E Balans VL '!Z15*100),0,B37*3.6/1000000/'E Balans VL '!Z15*100)</f>
        <v>0.46047173753985982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8019.6355561072487</v>
      </c>
      <c r="C5" s="17">
        <f>'Eigen informatie GS &amp; warmtenet'!B60</f>
        <v>0</v>
      </c>
      <c r="D5" s="30">
        <f>IF(ISERROR(SUM(LB_lb_gas_kWh,LB_rest_gas_kWh,onbekend_gas_kWh)/1000),0,SUM(LB_lb_gas_kWh,LB_rest_gas_kWh,onbekend_gas_kWh)/1000)*0.902</f>
        <v>44407.575241466409</v>
      </c>
      <c r="E5" s="17">
        <f>B17*'E Balans VL '!I25/3.6*1000000/100</f>
        <v>235.72158378820626</v>
      </c>
      <c r="F5" s="17">
        <f>B17*('E Balans VL '!L25/3.6*1000000+'E Balans VL '!N25/3.6*1000000)/100</f>
        <v>33409.368368383322</v>
      </c>
      <c r="G5" s="18"/>
      <c r="H5" s="17"/>
      <c r="I5" s="17"/>
      <c r="J5" s="17">
        <f>('E Balans VL '!D25+'E Balans VL '!E25)/3.6*1000000*landbouw!B17/100</f>
        <v>1161.8729684349485</v>
      </c>
      <c r="K5" s="17"/>
      <c r="L5" s="17">
        <f>L6*(-1)</f>
        <v>0</v>
      </c>
      <c r="M5" s="17"/>
      <c r="N5" s="17">
        <f>N6*(-1)</f>
        <v>0</v>
      </c>
      <c r="O5" s="17"/>
      <c r="P5" s="17"/>
      <c r="R5" s="32"/>
    </row>
    <row r="6" spans="1:18">
      <c r="A6" s="16" t="s">
        <v>488</v>
      </c>
      <c r="B6" s="17" t="s">
        <v>211</v>
      </c>
      <c r="C6" s="17">
        <f>'lokale energieproductie'!O91+'lokale energieproductie'!O60</f>
        <v>57.857142857142861</v>
      </c>
      <c r="D6" s="310">
        <f>('lokale energieproductie'!P60+'lokale energieproductie'!P91)*(-1)</f>
        <v>-100.71428571428572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8019.6355561072487</v>
      </c>
      <c r="C8" s="21">
        <f>C5+C6</f>
        <v>57.857142857142861</v>
      </c>
      <c r="D8" s="21">
        <f>MAX((D5+D6),0)</f>
        <v>44306.860955752127</v>
      </c>
      <c r="E8" s="21">
        <f>MAX((E5+E6),0)</f>
        <v>235.72158378820626</v>
      </c>
      <c r="F8" s="21">
        <f>MAX((F5+F6),0)</f>
        <v>33409.368368383322</v>
      </c>
      <c r="G8" s="21"/>
      <c r="H8" s="21"/>
      <c r="I8" s="21"/>
      <c r="J8" s="21">
        <f>MAX((J5+J6),0)</f>
        <v>1161.8729684349485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0.1710726818550482</v>
      </c>
      <c r="C10" s="31">
        <f ca="1">'EF ele_warmte'!B22</f>
        <v>0.23705006280279925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1371.9405620833679</v>
      </c>
      <c r="C12" s="23">
        <f ca="1">C8*C10</f>
        <v>13.715039347876242</v>
      </c>
      <c r="D12" s="23">
        <f>D8*D10</f>
        <v>8949.9859130619298</v>
      </c>
      <c r="E12" s="23">
        <f>E8*E10</f>
        <v>53.508799519922825</v>
      </c>
      <c r="F12" s="23">
        <f>F8*F10</f>
        <v>8920.3013543583475</v>
      </c>
      <c r="G12" s="23"/>
      <c r="H12" s="23"/>
      <c r="I12" s="23"/>
      <c r="J12" s="23">
        <f>J8*J10</f>
        <v>411.30303082597175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1.1380114462508486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572.92498046067703</v>
      </c>
      <c r="C26" s="247">
        <f>B26*'GWP N2O_CH4'!B5</f>
        <v>12031.424589674218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162.02904595507056</v>
      </c>
      <c r="C27" s="247">
        <f>B27*'GWP N2O_CH4'!B5</f>
        <v>3402.6099650564815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8.3088359421508553</v>
      </c>
      <c r="C28" s="247">
        <f>B28*'GWP N2O_CH4'!B4</f>
        <v>2575.739142066765</v>
      </c>
      <c r="D28" s="50"/>
    </row>
    <row r="29" spans="1:4">
      <c r="A29" s="41" t="s">
        <v>277</v>
      </c>
      <c r="B29" s="247">
        <f>B34*'ha_N2O bodem landbouw'!B4</f>
        <v>28.971052248817571</v>
      </c>
      <c r="C29" s="247">
        <f>B29*'GWP N2O_CH4'!B4</f>
        <v>8981.0261971334476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6.6110942844925889E-3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1.1221947942165107E-3</v>
      </c>
      <c r="C5" s="463" t="s">
        <v>211</v>
      </c>
      <c r="D5" s="448">
        <f>SUM(D6:D11)</f>
        <v>3.8675166157079513E-3</v>
      </c>
      <c r="E5" s="448">
        <f>SUM(E6:E11)</f>
        <v>5.3116822056504852E-3</v>
      </c>
      <c r="F5" s="461" t="s">
        <v>211</v>
      </c>
      <c r="G5" s="448">
        <f>SUM(G6:G11)</f>
        <v>2.0518369675670951</v>
      </c>
      <c r="H5" s="448">
        <f>SUM(H6:H11)</f>
        <v>0.43846084674863783</v>
      </c>
      <c r="I5" s="463" t="s">
        <v>211</v>
      </c>
      <c r="J5" s="463" t="s">
        <v>211</v>
      </c>
      <c r="K5" s="463" t="s">
        <v>211</v>
      </c>
      <c r="L5" s="463" t="s">
        <v>211</v>
      </c>
      <c r="M5" s="448">
        <f>SUM(M6:M11)</f>
        <v>0.13289320673400912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7.8240489674960903E-4</v>
      </c>
      <c r="C6" s="449"/>
      <c r="D6" s="962">
        <f>vkm_2011_GW_PW*SUMIFS(TableVerdeelsleutelVkm[CNG],TableVerdeelsleutelVkm[Voertuigtype],"Lichte voertuigen")*SUMIFS(TableECFTransport[EnergieConsumptieFactor (PJ per km)],TableECFTransport[Index],CONCATENATE($A6,"_CNG_CNG"))</f>
        <v>2.346765630684994E-3</v>
      </c>
      <c r="E6" s="962">
        <f>vkm_2011_GW_PW*SUMIFS(TableVerdeelsleutelVkm[LPG],TableVerdeelsleutelVkm[Voertuigtype],"Lichte voertuigen")*SUMIFS(TableECFTransport[EnergieConsumptieFactor (PJ per km)],TableECFTransport[Index],CONCATENATE($A6,"_LPG_LPG"))</f>
        <v>3.2060189477856856E-3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0.82892953370456246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0.26687090177759981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5.6350506534728853E-2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0.51877469479824878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1.580843306353364E-4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3.031547057231989E-2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2.0708436123323818E-4</v>
      </c>
      <c r="C8" s="449"/>
      <c r="D8" s="451">
        <f>vkm_2011_NGW_PW*SUMIFS(TableVerdeelsleutelVkm[CNG],TableVerdeelsleutelVkm[Voertuigtype],"Lichte voertuigen")*SUMIFS(TableECFTransport[EnergieConsumptieFactor (PJ per km)],TableECFTransport[Index],CONCATENATE($A8,"_CNG_CNG"))</f>
        <v>1.1043836157086297E-3</v>
      </c>
      <c r="E8" s="451">
        <f>vkm_2011_NGW_PW*SUMIFS(TableVerdeelsleutelVkm[LPG],TableVerdeelsleutelVkm[Voertuigtype],"Lichte voertuigen")*SUMIFS(TableECFTransport[EnergieConsumptieFactor (PJ per km)],TableECFTransport[Index],CONCATENATE($A8,"_LPG_LPG"))</f>
        <v>1.3972706066660752E-3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0.33666553287894546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0.12204496011886345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2.3291669691989144E-2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7.1026948542273871E-2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2.03757521779169E-5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4.1505414050232595E-3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1.3270553623366343E-4</v>
      </c>
      <c r="C10" s="449"/>
      <c r="D10" s="451">
        <f>vkm_2011_SW_PW*SUMIFS(TableVerdeelsleutelVkm[CNG],TableVerdeelsleutelVkm[Voertuigtype],"Lichte voertuigen")*SUMIFS(TableECFTransport[EnergieConsumptieFactor (PJ per km)],TableECFTransport[Index],CONCATENATE($A10,"_CNG_CNG"))</f>
        <v>4.1636736931432739E-4</v>
      </c>
      <c r="E10" s="451">
        <f>vkm_2011_SW_PW*SUMIFS(TableVerdeelsleutelVkm[LPG],TableVerdeelsleutelVkm[Voertuigtype],"Lichte voertuigen")*SUMIFS(TableECFTransport[EnergieConsumptieFactor (PJ per km)],TableECFTransport[Index],CONCATENATE($A10,"_LPG_LPG"))</f>
        <v>7.0839265119872457E-4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0.16328611110482671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4.9322707605526581E-2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1.100383616625393E-2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0.13315414653823809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4.3817163834752531E-5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7.781182363694049E-3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311.72077617125296</v>
      </c>
      <c r="C14" s="21"/>
      <c r="D14" s="21">
        <f t="shared" ref="D14:M14" si="0">((D5)*10^9/3600)+D12</f>
        <v>1074.3101710299863</v>
      </c>
      <c r="E14" s="21">
        <f t="shared" si="0"/>
        <v>1475.4672793473569</v>
      </c>
      <c r="F14" s="21"/>
      <c r="G14" s="21">
        <f t="shared" si="0"/>
        <v>569954.71321308194</v>
      </c>
      <c r="H14" s="21">
        <f t="shared" si="0"/>
        <v>121794.6796523994</v>
      </c>
      <c r="I14" s="21"/>
      <c r="J14" s="21"/>
      <c r="K14" s="21"/>
      <c r="L14" s="21"/>
      <c r="M14" s="21">
        <f t="shared" si="0"/>
        <v>36914.779648335869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0.1710726818550482</v>
      </c>
      <c r="C16" s="56">
        <f ca="1">'EF ele_warmte'!B22</f>
        <v>0.23705006280279925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53.326909169553453</v>
      </c>
      <c r="C18" s="23"/>
      <c r="D18" s="23">
        <f t="shared" ref="D18:M18" si="1">D14*D16</f>
        <v>217.01065454805726</v>
      </c>
      <c r="E18" s="23">
        <f t="shared" si="1"/>
        <v>334.93107241185004</v>
      </c>
      <c r="F18" s="23"/>
      <c r="G18" s="23">
        <f t="shared" si="1"/>
        <v>152177.90842789289</v>
      </c>
      <c r="H18" s="23">
        <f t="shared" si="1"/>
        <v>30326.875233447448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2.9845527104295517E-3</v>
      </c>
      <c r="C50" s="321">
        <f t="shared" ref="C50:P50" si="2">SUM(C51:C52)</f>
        <v>0</v>
      </c>
      <c r="D50" s="321">
        <f t="shared" si="2"/>
        <v>0</v>
      </c>
      <c r="E50" s="321">
        <f t="shared" si="2"/>
        <v>0</v>
      </c>
      <c r="F50" s="321">
        <f t="shared" si="2"/>
        <v>0</v>
      </c>
      <c r="G50" s="321">
        <f t="shared" si="2"/>
        <v>7.9025902295232306E-2</v>
      </c>
      <c r="H50" s="321">
        <f t="shared" si="2"/>
        <v>0</v>
      </c>
      <c r="I50" s="321">
        <f t="shared" si="2"/>
        <v>0</v>
      </c>
      <c r="J50" s="321">
        <f t="shared" si="2"/>
        <v>0</v>
      </c>
      <c r="K50" s="321">
        <f t="shared" si="2"/>
        <v>0</v>
      </c>
      <c r="L50" s="321">
        <f t="shared" si="2"/>
        <v>0</v>
      </c>
      <c r="M50" s="321">
        <f t="shared" si="2"/>
        <v>4.4883223844871534E-3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7.9025902295232306E-2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4.4883223844871534E-3</v>
      </c>
      <c r="N51" s="323"/>
      <c r="O51" s="323"/>
      <c r="P51" s="326"/>
    </row>
    <row r="52" spans="1:18">
      <c r="A52" s="4" t="s">
        <v>330</v>
      </c>
      <c r="B52" s="963">
        <f>vkm_2011_tram*SUMIFS(TableECFTransport[EnergieConsumptieFactor (PJ per km)],TableECFTransport[Index],"Tram_gemiddeld_Electric_Electric")</f>
        <v>2.9845527104295517E-3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829.04241956376427</v>
      </c>
      <c r="C54" s="21">
        <f t="shared" ref="C54:P54" si="3">(C50)*10^9/3600</f>
        <v>0</v>
      </c>
      <c r="D54" s="21">
        <f t="shared" si="3"/>
        <v>0</v>
      </c>
      <c r="E54" s="21">
        <f t="shared" si="3"/>
        <v>0</v>
      </c>
      <c r="F54" s="21">
        <f t="shared" si="3"/>
        <v>0</v>
      </c>
      <c r="G54" s="21">
        <f t="shared" si="3"/>
        <v>21951.639526453419</v>
      </c>
      <c r="H54" s="21">
        <f t="shared" si="3"/>
        <v>0</v>
      </c>
      <c r="I54" s="21">
        <f t="shared" si="3"/>
        <v>0</v>
      </c>
      <c r="J54" s="21">
        <f t="shared" si="3"/>
        <v>0</v>
      </c>
      <c r="K54" s="21">
        <f t="shared" si="3"/>
        <v>0</v>
      </c>
      <c r="L54" s="21">
        <f t="shared" si="3"/>
        <v>0</v>
      </c>
      <c r="M54" s="21">
        <f t="shared" si="3"/>
        <v>1246.756217913098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0.1710726818550482</v>
      </c>
      <c r="C56" s="56">
        <f ca="1">'EF ele_warmte'!B22</f>
        <v>0.23705006280279925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141.82651008637123</v>
      </c>
      <c r="C58" s="23">
        <f t="shared" ref="C58:P58" ca="1" si="4">C54*C56</f>
        <v>0</v>
      </c>
      <c r="D58" s="23">
        <f t="shared" si="4"/>
        <v>0</v>
      </c>
      <c r="E58" s="23">
        <f t="shared" si="4"/>
        <v>0</v>
      </c>
      <c r="F58" s="23">
        <f t="shared" si="4"/>
        <v>0</v>
      </c>
      <c r="G58" s="23">
        <f t="shared" si="4"/>
        <v>5861.0877535630634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107647.09666049988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32195.727263764253</v>
      </c>
      <c r="C6" s="1204"/>
      <c r="D6" s="1189"/>
      <c r="E6" s="1189"/>
      <c r="F6" s="1207"/>
      <c r="G6" s="1210"/>
      <c r="H6" s="1201"/>
      <c r="I6" s="1189"/>
      <c r="J6" s="1189"/>
      <c r="K6" s="1189"/>
      <c r="L6" s="1193"/>
      <c r="M6" s="575"/>
      <c r="N6" s="1167"/>
      <c r="O6" s="1168"/>
      <c r="Q6" s="573"/>
      <c r="R6" s="1155"/>
      <c r="S6" s="1155"/>
    </row>
    <row r="7" spans="1:19" s="563" customFormat="1">
      <c r="A7" s="576" t="s">
        <v>252</v>
      </c>
      <c r="B7" s="577">
        <f>N57</f>
        <v>239.25000000000003</v>
      </c>
      <c r="C7" s="578">
        <f>B100</f>
        <v>280.76350260183028</v>
      </c>
      <c r="D7" s="579"/>
      <c r="E7" s="579">
        <f>E100</f>
        <v>0</v>
      </c>
      <c r="F7" s="580"/>
      <c r="G7" s="581"/>
      <c r="H7" s="579">
        <f>I100</f>
        <v>0</v>
      </c>
      <c r="I7" s="579">
        <f>G100+F100</f>
        <v>0</v>
      </c>
      <c r="J7" s="579">
        <f>H100+D100+C100</f>
        <v>0</v>
      </c>
      <c r="K7" s="579"/>
      <c r="L7" s="582"/>
      <c r="M7" s="583">
        <f>C7*$C$11+D7*$D$11+E7*$E$11+F7*$F$11+G7*$G$11+H7*$H$11+I7*$I$11+J7*$J$11</f>
        <v>56.714227525569719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140082.07392426414</v>
      </c>
      <c r="C9" s="594">
        <f t="shared" ref="C9:L9" si="0">SUM(C7:C8)</f>
        <v>280.76350260183028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56.714227525569719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357.85714285714289</v>
      </c>
      <c r="C16" s="610">
        <f>B101</f>
        <v>419.95078311245555</v>
      </c>
      <c r="D16" s="611"/>
      <c r="E16" s="611">
        <f>E101</f>
        <v>0</v>
      </c>
      <c r="F16" s="612"/>
      <c r="G16" s="613"/>
      <c r="H16" s="610">
        <f>I101</f>
        <v>0</v>
      </c>
      <c r="I16" s="611">
        <f>G101+F101</f>
        <v>0</v>
      </c>
      <c r="J16" s="611">
        <f>H101+D101+C101</f>
        <v>0</v>
      </c>
      <c r="K16" s="611"/>
      <c r="L16" s="614"/>
      <c r="M16" s="615">
        <f>C16*$C$21+E16*$E$21+H16*$H$21+I16*$I$21+J16*$J$21+D16*$D$21+F16*$F$21+G16*$G$21+K16*$K$21+L16*$L$21</f>
        <v>84.830058188716023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357.85714285714289</v>
      </c>
      <c r="C19" s="593">
        <f>SUM(C16:C18)</f>
        <v>419.95078311245555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84.830058188716023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31005</v>
      </c>
      <c r="C27" s="851">
        <v>8000</v>
      </c>
      <c r="D27" s="672" t="s">
        <v>809</v>
      </c>
      <c r="E27" s="671" t="s">
        <v>810</v>
      </c>
      <c r="F27" s="671" t="s">
        <v>811</v>
      </c>
      <c r="G27" s="671" t="s">
        <v>812</v>
      </c>
      <c r="H27" s="671" t="s">
        <v>813</v>
      </c>
      <c r="I27" s="671" t="s">
        <v>810</v>
      </c>
      <c r="J27" s="850">
        <v>41207</v>
      </c>
      <c r="K27" s="850">
        <v>41306</v>
      </c>
      <c r="L27" s="671" t="s">
        <v>814</v>
      </c>
      <c r="M27" s="671">
        <v>5.5</v>
      </c>
      <c r="N27" s="671">
        <v>24.75</v>
      </c>
      <c r="O27" s="671">
        <v>35.357142857142861</v>
      </c>
      <c r="P27" s="671">
        <v>70.714285714285722</v>
      </c>
      <c r="Q27" s="671">
        <v>0</v>
      </c>
      <c r="R27" s="671">
        <v>0</v>
      </c>
      <c r="S27" s="671">
        <v>0</v>
      </c>
      <c r="T27" s="671">
        <v>0</v>
      </c>
      <c r="U27" s="671">
        <v>0</v>
      </c>
      <c r="V27" s="671">
        <v>0</v>
      </c>
      <c r="W27" s="671">
        <v>0</v>
      </c>
      <c r="X27" s="671">
        <v>10</v>
      </c>
      <c r="Y27" s="671" t="s">
        <v>112</v>
      </c>
      <c r="Z27" s="673" t="s">
        <v>112</v>
      </c>
    </row>
    <row r="28" spans="1:26" s="625" customFormat="1" ht="12.75">
      <c r="A28" s="624"/>
      <c r="B28" s="851">
        <v>31005</v>
      </c>
      <c r="C28" s="851">
        <v>8000</v>
      </c>
      <c r="D28" s="672" t="s">
        <v>815</v>
      </c>
      <c r="E28" s="671" t="s">
        <v>816</v>
      </c>
      <c r="F28" s="671" t="s">
        <v>817</v>
      </c>
      <c r="G28" s="671" t="s">
        <v>818</v>
      </c>
      <c r="H28" s="671" t="s">
        <v>818</v>
      </c>
      <c r="I28" s="671" t="s">
        <v>816</v>
      </c>
      <c r="J28" s="850">
        <v>41624</v>
      </c>
      <c r="K28" s="850">
        <v>41619</v>
      </c>
      <c r="L28" s="671" t="s">
        <v>814</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63.75">
      <c r="A29" s="624"/>
      <c r="B29" s="851">
        <v>31005</v>
      </c>
      <c r="C29" s="851">
        <v>8000</v>
      </c>
      <c r="D29" s="672" t="s">
        <v>819</v>
      </c>
      <c r="E29" s="671" t="s">
        <v>820</v>
      </c>
      <c r="F29" s="671" t="s">
        <v>821</v>
      </c>
      <c r="G29" s="671" t="s">
        <v>812</v>
      </c>
      <c r="H29" s="671" t="s">
        <v>813</v>
      </c>
      <c r="I29" s="671" t="s">
        <v>820</v>
      </c>
      <c r="J29" s="850">
        <v>42137</v>
      </c>
      <c r="K29" s="850">
        <v>42107</v>
      </c>
      <c r="L29" s="671" t="s">
        <v>814</v>
      </c>
      <c r="M29" s="671">
        <v>70</v>
      </c>
      <c r="N29" s="671">
        <v>210.00000000000003</v>
      </c>
      <c r="O29" s="671">
        <v>300.00000000000006</v>
      </c>
      <c r="P29" s="671">
        <v>600.00000000000011</v>
      </c>
      <c r="Q29" s="671">
        <v>0</v>
      </c>
      <c r="R29" s="671">
        <v>0</v>
      </c>
      <c r="S29" s="671">
        <v>0</v>
      </c>
      <c r="T29" s="671">
        <v>0</v>
      </c>
      <c r="U29" s="671">
        <v>0</v>
      </c>
      <c r="V29" s="671">
        <v>0</v>
      </c>
      <c r="W29" s="671">
        <v>0</v>
      </c>
      <c r="X29" s="671">
        <v>1600</v>
      </c>
      <c r="Y29" s="671" t="s">
        <v>50</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76.5</v>
      </c>
      <c r="N57" s="629">
        <f>SUM(N27:N56)</f>
        <v>239.25000000000003</v>
      </c>
      <c r="O57" s="629">
        <f t="shared" ref="O57:W57" si="2">SUM(O27:O56)</f>
        <v>357.85714285714289</v>
      </c>
      <c r="P57" s="629">
        <f t="shared" si="2"/>
        <v>700.71428571428578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210.00000000000003</v>
      </c>
      <c r="O59" s="629">
        <f ca="1">SUMIF($Z$27:AC56,"tertiair",O27:O56)</f>
        <v>300.00000000000006</v>
      </c>
      <c r="P59" s="629">
        <f ca="1">SUMIF($Z$27:AD56,"tertiair",P27:P56)</f>
        <v>600.00000000000011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6.5</v>
      </c>
      <c r="N60" s="634">
        <f t="shared" ref="N60:W60" si="4">SUMIF($Z$27:$Z$56,"landbouw",N27:N56)</f>
        <v>29.25</v>
      </c>
      <c r="O60" s="634">
        <f t="shared" si="4"/>
        <v>57.857142857142861</v>
      </c>
      <c r="P60" s="634">
        <f t="shared" si="4"/>
        <v>100.71428571428572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0.59931814103714343</v>
      </c>
      <c r="C97" s="654">
        <f>IF(ISERROR(N57/(O57+N57)),0,N57/(N57+O57))</f>
        <v>0.40068185896285663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280.76350260183028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419.95078311245555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318057.53523400036</v>
      </c>
      <c r="D10" s="718">
        <f ca="1">tertiair!C16</f>
        <v>300.00000000000006</v>
      </c>
      <c r="E10" s="718">
        <f ca="1">tertiair!D16</f>
        <v>374201.56445538689</v>
      </c>
      <c r="F10" s="718">
        <f>tertiair!E16</f>
        <v>3932.5151194971322</v>
      </c>
      <c r="G10" s="718">
        <f ca="1">tertiair!F16</f>
        <v>53048.440223459416</v>
      </c>
      <c r="H10" s="718">
        <f>tertiair!G16</f>
        <v>0</v>
      </c>
      <c r="I10" s="718">
        <f>tertiair!H16</f>
        <v>0</v>
      </c>
      <c r="J10" s="718">
        <f>tertiair!I16</f>
        <v>0</v>
      </c>
      <c r="K10" s="718">
        <f>tertiair!J16</f>
        <v>0.7485333121257256</v>
      </c>
      <c r="L10" s="718">
        <f>tertiair!K16</f>
        <v>0</v>
      </c>
      <c r="M10" s="718">
        <f ca="1">tertiair!L16</f>
        <v>0</v>
      </c>
      <c r="N10" s="718">
        <f>tertiair!M16</f>
        <v>0</v>
      </c>
      <c r="O10" s="718">
        <f ca="1">tertiair!N16</f>
        <v>30065.917457992608</v>
      </c>
      <c r="P10" s="718">
        <f>tertiair!O16</f>
        <v>23.45</v>
      </c>
      <c r="Q10" s="719">
        <f>tertiair!P16</f>
        <v>400.4</v>
      </c>
      <c r="R10" s="721">
        <f ca="1">SUM(C10:Q10)</f>
        <v>780030.57102364837</v>
      </c>
      <c r="S10" s="67"/>
    </row>
    <row r="11" spans="1:19" s="474" customFormat="1">
      <c r="A11" s="870" t="s">
        <v>225</v>
      </c>
      <c r="B11" s="875"/>
      <c r="C11" s="718">
        <f>huishoudens!B8</f>
        <v>187589.3170312116</v>
      </c>
      <c r="D11" s="718">
        <f>huishoudens!C8</f>
        <v>0</v>
      </c>
      <c r="E11" s="718">
        <f>huishoudens!D8</f>
        <v>604668.4994264422</v>
      </c>
      <c r="F11" s="718">
        <f>huishoudens!E8</f>
        <v>8228.82316062885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52269.341421225778</v>
      </c>
      <c r="P11" s="718">
        <f>huishoudens!O8</f>
        <v>1371.0433333333333</v>
      </c>
      <c r="Q11" s="719">
        <f>huishoudens!P8</f>
        <v>1677.8666666666668</v>
      </c>
      <c r="R11" s="721">
        <f>SUM(C11:Q11)</f>
        <v>855804.89103950851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104120.9281417391</v>
      </c>
      <c r="D13" s="718">
        <f>industrie!C18</f>
        <v>0</v>
      </c>
      <c r="E13" s="718">
        <f>industrie!D18</f>
        <v>170349.86343211203</v>
      </c>
      <c r="F13" s="718">
        <f>industrie!E18</f>
        <v>7249.9547470687357</v>
      </c>
      <c r="G13" s="718">
        <f>industrie!F18</f>
        <v>24699.320743596778</v>
      </c>
      <c r="H13" s="718">
        <f>industrie!G18</f>
        <v>0</v>
      </c>
      <c r="I13" s="718">
        <f>industrie!H18</f>
        <v>0</v>
      </c>
      <c r="J13" s="718">
        <f>industrie!I18</f>
        <v>0</v>
      </c>
      <c r="K13" s="718">
        <f>industrie!J18</f>
        <v>210.84632174733056</v>
      </c>
      <c r="L13" s="718">
        <f>industrie!K18</f>
        <v>0</v>
      </c>
      <c r="M13" s="718">
        <f>industrie!L18</f>
        <v>0</v>
      </c>
      <c r="N13" s="718">
        <f>industrie!M18</f>
        <v>0</v>
      </c>
      <c r="O13" s="718">
        <f>industrie!N18</f>
        <v>31163.27431534417</v>
      </c>
      <c r="P13" s="718">
        <f>industrie!O18</f>
        <v>0</v>
      </c>
      <c r="Q13" s="719">
        <f>industrie!P18</f>
        <v>0</v>
      </c>
      <c r="R13" s="721">
        <f>SUM(C13:Q13)</f>
        <v>337794.18770160817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609767.78040695109</v>
      </c>
      <c r="D15" s="723">
        <f t="shared" ref="D15:Q15" ca="1" si="0">SUM(D9:D14)</f>
        <v>300.00000000000006</v>
      </c>
      <c r="E15" s="723">
        <f t="shared" ca="1" si="0"/>
        <v>1149219.9273139411</v>
      </c>
      <c r="F15" s="723">
        <f t="shared" si="0"/>
        <v>19411.293027194719</v>
      </c>
      <c r="G15" s="723">
        <f t="shared" ca="1" si="0"/>
        <v>77747.760967056194</v>
      </c>
      <c r="H15" s="723">
        <f t="shared" si="0"/>
        <v>0</v>
      </c>
      <c r="I15" s="723">
        <f t="shared" si="0"/>
        <v>0</v>
      </c>
      <c r="J15" s="723">
        <f t="shared" si="0"/>
        <v>0</v>
      </c>
      <c r="K15" s="723">
        <f t="shared" si="0"/>
        <v>211.59485505945628</v>
      </c>
      <c r="L15" s="723">
        <f t="shared" si="0"/>
        <v>0</v>
      </c>
      <c r="M15" s="723">
        <f t="shared" ca="1" si="0"/>
        <v>0</v>
      </c>
      <c r="N15" s="723">
        <f t="shared" si="0"/>
        <v>0</v>
      </c>
      <c r="O15" s="723">
        <f t="shared" ca="1" si="0"/>
        <v>113498.53319456255</v>
      </c>
      <c r="P15" s="723">
        <f t="shared" si="0"/>
        <v>1394.4933333333333</v>
      </c>
      <c r="Q15" s="724">
        <f t="shared" si="0"/>
        <v>2078.2666666666669</v>
      </c>
      <c r="R15" s="725">
        <f ca="1">SUM(R9:R14)</f>
        <v>1973629.6497647651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829.04241956376427</v>
      </c>
      <c r="D18" s="718">
        <f>transport!C54</f>
        <v>0</v>
      </c>
      <c r="E18" s="718">
        <f>transport!D54</f>
        <v>0</v>
      </c>
      <c r="F18" s="718">
        <f>transport!E54</f>
        <v>0</v>
      </c>
      <c r="G18" s="718">
        <f>transport!F54</f>
        <v>0</v>
      </c>
      <c r="H18" s="718">
        <f>transport!G54</f>
        <v>21951.639526453419</v>
      </c>
      <c r="I18" s="718">
        <f>transport!H54</f>
        <v>0</v>
      </c>
      <c r="J18" s="718">
        <f>transport!I54</f>
        <v>0</v>
      </c>
      <c r="K18" s="718">
        <f>transport!J54</f>
        <v>0</v>
      </c>
      <c r="L18" s="718">
        <f>transport!K54</f>
        <v>0</v>
      </c>
      <c r="M18" s="718">
        <f>transport!L54</f>
        <v>0</v>
      </c>
      <c r="N18" s="718">
        <f>transport!M54</f>
        <v>1246.756217913098</v>
      </c>
      <c r="O18" s="718">
        <f>transport!N54</f>
        <v>0</v>
      </c>
      <c r="P18" s="718">
        <f>transport!O54</f>
        <v>0</v>
      </c>
      <c r="Q18" s="719">
        <f>transport!P54</f>
        <v>0</v>
      </c>
      <c r="R18" s="721">
        <f>SUM(C18:Q18)</f>
        <v>24027.438163930281</v>
      </c>
      <c r="S18" s="67"/>
    </row>
    <row r="19" spans="1:19" s="474" customFormat="1" ht="15" thickBot="1">
      <c r="A19" s="870" t="s">
        <v>307</v>
      </c>
      <c r="B19" s="875"/>
      <c r="C19" s="727">
        <f>transport!B14</f>
        <v>311.72077617125296</v>
      </c>
      <c r="D19" s="727">
        <f>transport!C14</f>
        <v>0</v>
      </c>
      <c r="E19" s="727">
        <f>transport!D14</f>
        <v>1074.3101710299863</v>
      </c>
      <c r="F19" s="727">
        <f>transport!E14</f>
        <v>1475.4672793473569</v>
      </c>
      <c r="G19" s="727">
        <f>transport!F14</f>
        <v>0</v>
      </c>
      <c r="H19" s="727">
        <f>transport!G14</f>
        <v>569954.71321308194</v>
      </c>
      <c r="I19" s="727">
        <f>transport!H14</f>
        <v>121794.6796523994</v>
      </c>
      <c r="J19" s="727">
        <f>transport!I14</f>
        <v>0</v>
      </c>
      <c r="K19" s="727">
        <f>transport!J14</f>
        <v>0</v>
      </c>
      <c r="L19" s="727">
        <f>transport!K14</f>
        <v>0</v>
      </c>
      <c r="M19" s="727">
        <f>transport!L14</f>
        <v>0</v>
      </c>
      <c r="N19" s="727">
        <f>transport!M14</f>
        <v>36914.779648335869</v>
      </c>
      <c r="O19" s="727">
        <f>transport!N14</f>
        <v>0</v>
      </c>
      <c r="P19" s="727">
        <f>transport!O14</f>
        <v>0</v>
      </c>
      <c r="Q19" s="728">
        <f>transport!P14</f>
        <v>0</v>
      </c>
      <c r="R19" s="729">
        <f>SUM(C19:Q19)</f>
        <v>731525.67074036575</v>
      </c>
      <c r="S19" s="67"/>
    </row>
    <row r="20" spans="1:19" s="474" customFormat="1" ht="15.75" thickBot="1">
      <c r="A20" s="730" t="s">
        <v>230</v>
      </c>
      <c r="B20" s="878"/>
      <c r="C20" s="873">
        <f>SUM(C17:C19)</f>
        <v>1140.7631957350172</v>
      </c>
      <c r="D20" s="731">
        <f t="shared" ref="D20:R20" si="1">SUM(D17:D19)</f>
        <v>0</v>
      </c>
      <c r="E20" s="731">
        <f t="shared" si="1"/>
        <v>1074.3101710299863</v>
      </c>
      <c r="F20" s="731">
        <f t="shared" si="1"/>
        <v>1475.4672793473569</v>
      </c>
      <c r="G20" s="731">
        <f t="shared" si="1"/>
        <v>0</v>
      </c>
      <c r="H20" s="731">
        <f t="shared" si="1"/>
        <v>591906.35273953539</v>
      </c>
      <c r="I20" s="731">
        <f t="shared" si="1"/>
        <v>121794.6796523994</v>
      </c>
      <c r="J20" s="731">
        <f t="shared" si="1"/>
        <v>0</v>
      </c>
      <c r="K20" s="731">
        <f t="shared" si="1"/>
        <v>0</v>
      </c>
      <c r="L20" s="731">
        <f t="shared" si="1"/>
        <v>0</v>
      </c>
      <c r="M20" s="731">
        <f t="shared" si="1"/>
        <v>0</v>
      </c>
      <c r="N20" s="731">
        <f t="shared" si="1"/>
        <v>38161.535866248967</v>
      </c>
      <c r="O20" s="731">
        <f t="shared" si="1"/>
        <v>0</v>
      </c>
      <c r="P20" s="731">
        <f t="shared" si="1"/>
        <v>0</v>
      </c>
      <c r="Q20" s="732">
        <f t="shared" si="1"/>
        <v>0</v>
      </c>
      <c r="R20" s="733">
        <f t="shared" si="1"/>
        <v>755553.10890429607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8019.6355561072487</v>
      </c>
      <c r="D22" s="727">
        <f>+landbouw!C8</f>
        <v>57.857142857142861</v>
      </c>
      <c r="E22" s="727">
        <f>+landbouw!D8</f>
        <v>44306.860955752127</v>
      </c>
      <c r="F22" s="727">
        <f>+landbouw!E8</f>
        <v>235.72158378820626</v>
      </c>
      <c r="G22" s="727">
        <f>+landbouw!F8</f>
        <v>33409.368368383322</v>
      </c>
      <c r="H22" s="727">
        <f>+landbouw!G8</f>
        <v>0</v>
      </c>
      <c r="I22" s="727">
        <f>+landbouw!H8</f>
        <v>0</v>
      </c>
      <c r="J22" s="727">
        <f>+landbouw!I8</f>
        <v>0</v>
      </c>
      <c r="K22" s="727">
        <f>+landbouw!J8</f>
        <v>1161.8729684349485</v>
      </c>
      <c r="L22" s="727">
        <f>+landbouw!K8</f>
        <v>0</v>
      </c>
      <c r="M22" s="727">
        <f>+landbouw!L8</f>
        <v>0</v>
      </c>
      <c r="N22" s="727">
        <f>+landbouw!M8</f>
        <v>0</v>
      </c>
      <c r="O22" s="727">
        <f>+landbouw!N8</f>
        <v>0</v>
      </c>
      <c r="P22" s="727">
        <f>+landbouw!O8</f>
        <v>0</v>
      </c>
      <c r="Q22" s="728">
        <f>+landbouw!P8</f>
        <v>0</v>
      </c>
      <c r="R22" s="729">
        <f>SUM(C22:Q22)</f>
        <v>87191.316575322999</v>
      </c>
      <c r="S22" s="67"/>
    </row>
    <row r="23" spans="1:19" s="474" customFormat="1" ht="17.25" thickTop="1" thickBot="1">
      <c r="A23" s="734" t="s">
        <v>116</v>
      </c>
      <c r="B23" s="864"/>
      <c r="C23" s="735">
        <f ca="1">C20+C15+C22</f>
        <v>618928.17915879341</v>
      </c>
      <c r="D23" s="735">
        <f t="shared" ref="D23:Q23" ca="1" si="2">D20+D15+D22</f>
        <v>357.85714285714289</v>
      </c>
      <c r="E23" s="735">
        <f t="shared" ca="1" si="2"/>
        <v>1194601.0984407233</v>
      </c>
      <c r="F23" s="735">
        <f t="shared" si="2"/>
        <v>21122.481890330284</v>
      </c>
      <c r="G23" s="735">
        <f t="shared" ca="1" si="2"/>
        <v>111157.12933543952</v>
      </c>
      <c r="H23" s="735">
        <f t="shared" si="2"/>
        <v>591906.35273953539</v>
      </c>
      <c r="I23" s="735">
        <f t="shared" si="2"/>
        <v>121794.6796523994</v>
      </c>
      <c r="J23" s="735">
        <f t="shared" si="2"/>
        <v>0</v>
      </c>
      <c r="K23" s="735">
        <f t="shared" si="2"/>
        <v>1373.4678234944047</v>
      </c>
      <c r="L23" s="735">
        <f t="shared" si="2"/>
        <v>0</v>
      </c>
      <c r="M23" s="735">
        <f t="shared" ca="1" si="2"/>
        <v>0</v>
      </c>
      <c r="N23" s="735">
        <f t="shared" si="2"/>
        <v>38161.535866248967</v>
      </c>
      <c r="O23" s="735">
        <f t="shared" ca="1" si="2"/>
        <v>113498.53319456255</v>
      </c>
      <c r="P23" s="735">
        <f t="shared" si="2"/>
        <v>1394.4933333333333</v>
      </c>
      <c r="Q23" s="736">
        <f t="shared" si="2"/>
        <v>2078.2666666666669</v>
      </c>
      <c r="R23" s="737">
        <f ca="1">R20+R15+R22</f>
        <v>2816374.0752443839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54410.955536686924</v>
      </c>
      <c r="D36" s="718">
        <f ca="1">tertiair!C20</f>
        <v>71.115018840839795</v>
      </c>
      <c r="E36" s="718">
        <f ca="1">tertiair!D20</f>
        <v>75588.716019988162</v>
      </c>
      <c r="F36" s="718">
        <f>tertiair!E20</f>
        <v>892.68093212584904</v>
      </c>
      <c r="G36" s="718">
        <f ca="1">tertiair!F20</f>
        <v>14163.933539663665</v>
      </c>
      <c r="H36" s="718">
        <f>tertiair!G20</f>
        <v>0</v>
      </c>
      <c r="I36" s="718">
        <f>tertiair!H20</f>
        <v>0</v>
      </c>
      <c r="J36" s="718">
        <f>tertiair!I20</f>
        <v>0</v>
      </c>
      <c r="K36" s="718">
        <f>tertiair!J20</f>
        <v>0.26498079249250683</v>
      </c>
      <c r="L36" s="718">
        <f>tertiair!K20</f>
        <v>0</v>
      </c>
      <c r="M36" s="718">
        <f ca="1">tertiair!L20</f>
        <v>0</v>
      </c>
      <c r="N36" s="718">
        <f>tertiair!M20</f>
        <v>0</v>
      </c>
      <c r="O36" s="718">
        <f ca="1">tertiair!N20</f>
        <v>0</v>
      </c>
      <c r="P36" s="718">
        <f>tertiair!O20</f>
        <v>0</v>
      </c>
      <c r="Q36" s="828">
        <f>tertiair!P20</f>
        <v>0</v>
      </c>
      <c r="R36" s="917">
        <f ca="1">SUM(C36:Q36)</f>
        <v>145127.66602809794</v>
      </c>
    </row>
    <row r="37" spans="1:18">
      <c r="A37" s="885" t="s">
        <v>225</v>
      </c>
      <c r="B37" s="892"/>
      <c r="C37" s="718">
        <f ca="1">huishoudens!B12</f>
        <v>32091.407551886237</v>
      </c>
      <c r="D37" s="718">
        <f ca="1">huishoudens!C12</f>
        <v>0</v>
      </c>
      <c r="E37" s="718">
        <f>huishoudens!D12</f>
        <v>122143.03688414133</v>
      </c>
      <c r="F37" s="718">
        <f>huishoudens!E12</f>
        <v>1867.9428574627491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156102.38729349029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17812.246414444067</v>
      </c>
      <c r="D39" s="718">
        <f ca="1">industrie!C22</f>
        <v>0</v>
      </c>
      <c r="E39" s="718">
        <f>industrie!D22</f>
        <v>34410.672413286637</v>
      </c>
      <c r="F39" s="718">
        <f>industrie!E22</f>
        <v>1645.7397275846031</v>
      </c>
      <c r="G39" s="718">
        <f>industrie!F22</f>
        <v>6594.7186385403402</v>
      </c>
      <c r="H39" s="718">
        <f>industrie!G22</f>
        <v>0</v>
      </c>
      <c r="I39" s="718">
        <f>industrie!H22</f>
        <v>0</v>
      </c>
      <c r="J39" s="718">
        <f>industrie!I22</f>
        <v>0</v>
      </c>
      <c r="K39" s="718">
        <f>industrie!J22</f>
        <v>74.63959789855501</v>
      </c>
      <c r="L39" s="718">
        <f>industrie!K22</f>
        <v>0</v>
      </c>
      <c r="M39" s="718">
        <f>industrie!L22</f>
        <v>0</v>
      </c>
      <c r="N39" s="718">
        <f>industrie!M22</f>
        <v>0</v>
      </c>
      <c r="O39" s="718">
        <f>industrie!N22</f>
        <v>0</v>
      </c>
      <c r="P39" s="718">
        <f>industrie!O22</f>
        <v>0</v>
      </c>
      <c r="Q39" s="828">
        <f>industrie!P22</f>
        <v>0</v>
      </c>
      <c r="R39" s="918">
        <f ca="1">SUM(C39:Q39)</f>
        <v>60538.016791754198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104314.60950301721</v>
      </c>
      <c r="D41" s="763">
        <f t="shared" ref="D41:R41" ca="1" si="4">SUM(D35:D40)</f>
        <v>71.115018840839795</v>
      </c>
      <c r="E41" s="763">
        <f t="shared" ca="1" si="4"/>
        <v>232142.42531741614</v>
      </c>
      <c r="F41" s="763">
        <f t="shared" si="4"/>
        <v>4406.3635171732012</v>
      </c>
      <c r="G41" s="763">
        <f t="shared" ca="1" si="4"/>
        <v>20758.652178204007</v>
      </c>
      <c r="H41" s="763">
        <f t="shared" si="4"/>
        <v>0</v>
      </c>
      <c r="I41" s="763">
        <f t="shared" si="4"/>
        <v>0</v>
      </c>
      <c r="J41" s="763">
        <f t="shared" si="4"/>
        <v>0</v>
      </c>
      <c r="K41" s="763">
        <f t="shared" si="4"/>
        <v>74.904578691047519</v>
      </c>
      <c r="L41" s="763">
        <f t="shared" si="4"/>
        <v>0</v>
      </c>
      <c r="M41" s="763">
        <f t="shared" ca="1" si="4"/>
        <v>0</v>
      </c>
      <c r="N41" s="763">
        <f t="shared" si="4"/>
        <v>0</v>
      </c>
      <c r="O41" s="763">
        <f t="shared" ca="1" si="4"/>
        <v>0</v>
      </c>
      <c r="P41" s="763">
        <f t="shared" si="4"/>
        <v>0</v>
      </c>
      <c r="Q41" s="764">
        <f t="shared" si="4"/>
        <v>0</v>
      </c>
      <c r="R41" s="765">
        <f t="shared" ca="1" si="4"/>
        <v>361768.07011334237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141.82651008637123</v>
      </c>
      <c r="D44" s="718">
        <f ca="1">transport!C58</f>
        <v>0</v>
      </c>
      <c r="E44" s="718">
        <f>transport!D58</f>
        <v>0</v>
      </c>
      <c r="F44" s="718">
        <f>transport!E58</f>
        <v>0</v>
      </c>
      <c r="G44" s="718">
        <f>transport!F58</f>
        <v>0</v>
      </c>
      <c r="H44" s="718">
        <f>transport!G58</f>
        <v>5861.0877535630634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6002.9142636494344</v>
      </c>
    </row>
    <row r="45" spans="1:18" ht="15" thickBot="1">
      <c r="A45" s="888" t="s">
        <v>307</v>
      </c>
      <c r="B45" s="898"/>
      <c r="C45" s="727">
        <f ca="1">transport!B18</f>
        <v>53.326909169553453</v>
      </c>
      <c r="D45" s="727">
        <f>transport!C18</f>
        <v>0</v>
      </c>
      <c r="E45" s="727">
        <f>transport!D18</f>
        <v>217.01065454805726</v>
      </c>
      <c r="F45" s="727">
        <f>transport!E18</f>
        <v>334.93107241185004</v>
      </c>
      <c r="G45" s="727">
        <f>transport!F18</f>
        <v>0</v>
      </c>
      <c r="H45" s="727">
        <f>transport!G18</f>
        <v>152177.90842789289</v>
      </c>
      <c r="I45" s="727">
        <f>transport!H18</f>
        <v>30326.875233447448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183110.05229746978</v>
      </c>
    </row>
    <row r="46" spans="1:18" ht="15.75" thickBot="1">
      <c r="A46" s="886" t="s">
        <v>230</v>
      </c>
      <c r="B46" s="899"/>
      <c r="C46" s="763">
        <f t="shared" ref="C46:R46" ca="1" si="5">SUM(C43:C45)</f>
        <v>195.15341925592469</v>
      </c>
      <c r="D46" s="763">
        <f t="shared" ca="1" si="5"/>
        <v>0</v>
      </c>
      <c r="E46" s="763">
        <f t="shared" si="5"/>
        <v>217.01065454805726</v>
      </c>
      <c r="F46" s="763">
        <f t="shared" si="5"/>
        <v>334.93107241185004</v>
      </c>
      <c r="G46" s="763">
        <f t="shared" si="5"/>
        <v>0</v>
      </c>
      <c r="H46" s="763">
        <f t="shared" si="5"/>
        <v>158038.99618145596</v>
      </c>
      <c r="I46" s="763">
        <f t="shared" si="5"/>
        <v>30326.875233447448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189112.96656111922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1371.9405620833679</v>
      </c>
      <c r="D48" s="718">
        <f ca="1">+landbouw!C12</f>
        <v>13.715039347876242</v>
      </c>
      <c r="E48" s="718">
        <f>+landbouw!D12</f>
        <v>8949.9859130619298</v>
      </c>
      <c r="F48" s="718">
        <f>+landbouw!E12</f>
        <v>53.508799519922825</v>
      </c>
      <c r="G48" s="718">
        <f>+landbouw!F12</f>
        <v>8920.3013543583475</v>
      </c>
      <c r="H48" s="718">
        <f>+landbouw!G12</f>
        <v>0</v>
      </c>
      <c r="I48" s="718">
        <f>+landbouw!H12</f>
        <v>0</v>
      </c>
      <c r="J48" s="718">
        <f>+landbouw!I12</f>
        <v>0</v>
      </c>
      <c r="K48" s="718">
        <f>+landbouw!J12</f>
        <v>411.30303082597175</v>
      </c>
      <c r="L48" s="718">
        <f>+landbouw!K12</f>
        <v>0</v>
      </c>
      <c r="M48" s="718">
        <f>+landbouw!L12</f>
        <v>0</v>
      </c>
      <c r="N48" s="718">
        <f>+landbouw!M12</f>
        <v>0</v>
      </c>
      <c r="O48" s="718">
        <f>+landbouw!N12</f>
        <v>0</v>
      </c>
      <c r="P48" s="718">
        <f>+landbouw!O12</f>
        <v>0</v>
      </c>
      <c r="Q48" s="719">
        <f>+landbouw!P12</f>
        <v>0</v>
      </c>
      <c r="R48" s="761">
        <f ca="1">SUM(C48:Q48)</f>
        <v>19720.75469919742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105881.70348435651</v>
      </c>
      <c r="D53" s="773">
        <f t="shared" ref="D53:Q53" ca="1" si="6">D41+D46+D48</f>
        <v>84.830058188716038</v>
      </c>
      <c r="E53" s="773">
        <f t="shared" ca="1" si="6"/>
        <v>241309.42188502615</v>
      </c>
      <c r="F53" s="773">
        <f t="shared" si="6"/>
        <v>4794.8033891049745</v>
      </c>
      <c r="G53" s="773">
        <f t="shared" ca="1" si="6"/>
        <v>29678.953532562355</v>
      </c>
      <c r="H53" s="773">
        <f t="shared" si="6"/>
        <v>158038.99618145596</v>
      </c>
      <c r="I53" s="773">
        <f t="shared" si="6"/>
        <v>30326.875233447448</v>
      </c>
      <c r="J53" s="773">
        <f t="shared" si="6"/>
        <v>0</v>
      </c>
      <c r="K53" s="773">
        <f t="shared" si="6"/>
        <v>486.20760951701925</v>
      </c>
      <c r="L53" s="773">
        <f t="shared" si="6"/>
        <v>0</v>
      </c>
      <c r="M53" s="773">
        <f t="shared" ca="1" si="6"/>
        <v>0</v>
      </c>
      <c r="N53" s="773">
        <f t="shared" si="6"/>
        <v>0</v>
      </c>
      <c r="O53" s="773">
        <f t="shared" ca="1" si="6"/>
        <v>0</v>
      </c>
      <c r="P53" s="773">
        <f>P41+P46+P48</f>
        <v>0</v>
      </c>
      <c r="Q53" s="774">
        <f t="shared" si="6"/>
        <v>0</v>
      </c>
      <c r="R53" s="775">
        <f ca="1">R41+R46+R48</f>
        <v>570601.79137365893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0.17107268185504815</v>
      </c>
      <c r="D55" s="836">
        <f t="shared" ca="1" si="7"/>
        <v>0.23705006280279928</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107647.09666049988</v>
      </c>
      <c r="C64" s="795">
        <f>'lokale energieproductie'!B4</f>
        <v>107647.09666049988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32195.727263764253</v>
      </c>
      <c r="C66" s="795">
        <f>'lokale energieproductie'!B6</f>
        <v>32195.727263764253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239.25000000000003</v>
      </c>
      <c r="C67" s="794">
        <f>B67*IFERROR(SUM(J67:L67)/SUM(D67:M67),0)</f>
        <v>0</v>
      </c>
      <c r="D67" s="826">
        <f>'lokale energieproductie'!C7</f>
        <v>280.76350260183028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56.714227525569719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140082.07392426414</v>
      </c>
      <c r="C69" s="803">
        <f>SUM(C64:C68)</f>
        <v>139842.82392426414</v>
      </c>
      <c r="D69" s="804">
        <f t="shared" ref="D69:M69" si="8">SUM(D67:D68)</f>
        <v>280.76350260183028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56.714227525569719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357.85714285714289</v>
      </c>
      <c r="C78" s="817">
        <f>B78*IFERROR(SUM(I78:L78)/SUM(D78:M78),0)</f>
        <v>0</v>
      </c>
      <c r="D78" s="832">
        <f>'lokale energieproductie'!C16</f>
        <v>419.95078311245555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84.830058188716023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357.85714285714289</v>
      </c>
      <c r="C81" s="803">
        <f>SUM(C78:C80)</f>
        <v>0</v>
      </c>
      <c r="D81" s="803">
        <f t="shared" ref="D81:P81" si="9">SUM(D78:D80)</f>
        <v>419.95078311245555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84.830058188716023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187589.3170312116</v>
      </c>
      <c r="C4" s="478">
        <f>huishoudens!C8</f>
        <v>0</v>
      </c>
      <c r="D4" s="478">
        <f>huishoudens!D8</f>
        <v>604668.4994264422</v>
      </c>
      <c r="E4" s="478">
        <f>huishoudens!E8</f>
        <v>8228.82316062885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52269.341421225778</v>
      </c>
      <c r="O4" s="478">
        <f>huishoudens!O8</f>
        <v>1371.0433333333333</v>
      </c>
      <c r="P4" s="479">
        <f>huishoudens!P8</f>
        <v>1677.8666666666668</v>
      </c>
      <c r="Q4" s="480">
        <f>SUM(B4:P4)</f>
        <v>855804.89103950851</v>
      </c>
    </row>
    <row r="5" spans="1:17">
      <c r="A5" s="477" t="s">
        <v>156</v>
      </c>
      <c r="B5" s="478">
        <f ca="1">tertiair!B16</f>
        <v>310042.78523400036</v>
      </c>
      <c r="C5" s="478">
        <f ca="1">tertiair!C16</f>
        <v>300.00000000000006</v>
      </c>
      <c r="D5" s="478">
        <f ca="1">tertiair!D16</f>
        <v>374201.56445538689</v>
      </c>
      <c r="E5" s="478">
        <f>tertiair!E16</f>
        <v>3932.5151194971322</v>
      </c>
      <c r="F5" s="478">
        <f ca="1">tertiair!F16</f>
        <v>53048.440223459416</v>
      </c>
      <c r="G5" s="478">
        <f>tertiair!G16</f>
        <v>0</v>
      </c>
      <c r="H5" s="478">
        <f>tertiair!H16</f>
        <v>0</v>
      </c>
      <c r="I5" s="478">
        <f>tertiair!I16</f>
        <v>0</v>
      </c>
      <c r="J5" s="478">
        <f>tertiair!J16</f>
        <v>0.7485333121257256</v>
      </c>
      <c r="K5" s="478">
        <f>tertiair!K16</f>
        <v>0</v>
      </c>
      <c r="L5" s="478">
        <f ca="1">tertiair!L16</f>
        <v>0</v>
      </c>
      <c r="M5" s="478">
        <f>tertiair!M16</f>
        <v>0</v>
      </c>
      <c r="N5" s="478">
        <f ca="1">tertiair!N16</f>
        <v>30065.917457992608</v>
      </c>
      <c r="O5" s="478">
        <f>tertiair!O16</f>
        <v>23.45</v>
      </c>
      <c r="P5" s="479">
        <f>tertiair!P16</f>
        <v>400.4</v>
      </c>
      <c r="Q5" s="477">
        <f t="shared" ref="Q5:Q13" ca="1" si="0">SUM(B5:P5)</f>
        <v>772015.82102364837</v>
      </c>
    </row>
    <row r="6" spans="1:17">
      <c r="A6" s="477" t="s">
        <v>194</v>
      </c>
      <c r="B6" s="478">
        <f>'openbare verlichting'!B8</f>
        <v>8014.75</v>
      </c>
      <c r="C6" s="478"/>
      <c r="D6" s="478"/>
      <c r="E6" s="478"/>
      <c r="F6" s="478"/>
      <c r="G6" s="478"/>
      <c r="H6" s="478"/>
      <c r="I6" s="478"/>
      <c r="J6" s="478"/>
      <c r="K6" s="478"/>
      <c r="L6" s="478"/>
      <c r="M6" s="478"/>
      <c r="N6" s="478"/>
      <c r="O6" s="478"/>
      <c r="P6" s="479"/>
      <c r="Q6" s="477">
        <f t="shared" si="0"/>
        <v>8014.75</v>
      </c>
    </row>
    <row r="7" spans="1:17">
      <c r="A7" s="477" t="s">
        <v>112</v>
      </c>
      <c r="B7" s="478">
        <f>landbouw!B8</f>
        <v>8019.6355561072487</v>
      </c>
      <c r="C7" s="478">
        <f>landbouw!C8</f>
        <v>57.857142857142861</v>
      </c>
      <c r="D7" s="478">
        <f>landbouw!D8</f>
        <v>44306.860955752127</v>
      </c>
      <c r="E7" s="478">
        <f>landbouw!E8</f>
        <v>235.72158378820626</v>
      </c>
      <c r="F7" s="478">
        <f>landbouw!F8</f>
        <v>33409.368368383322</v>
      </c>
      <c r="G7" s="478">
        <f>landbouw!G8</f>
        <v>0</v>
      </c>
      <c r="H7" s="478">
        <f>landbouw!H8</f>
        <v>0</v>
      </c>
      <c r="I7" s="478">
        <f>landbouw!I8</f>
        <v>0</v>
      </c>
      <c r="J7" s="478">
        <f>landbouw!J8</f>
        <v>1161.8729684349485</v>
      </c>
      <c r="K7" s="478">
        <f>landbouw!K8</f>
        <v>0</v>
      </c>
      <c r="L7" s="478">
        <f>landbouw!L8</f>
        <v>0</v>
      </c>
      <c r="M7" s="478">
        <f>landbouw!M8</f>
        <v>0</v>
      </c>
      <c r="N7" s="478">
        <f>landbouw!N8</f>
        <v>0</v>
      </c>
      <c r="O7" s="478">
        <f>landbouw!O8</f>
        <v>0</v>
      </c>
      <c r="P7" s="479">
        <f>landbouw!P8</f>
        <v>0</v>
      </c>
      <c r="Q7" s="477">
        <f t="shared" si="0"/>
        <v>87191.316575322999</v>
      </c>
    </row>
    <row r="8" spans="1:17">
      <c r="A8" s="477" t="s">
        <v>635</v>
      </c>
      <c r="B8" s="478">
        <f>industrie!B18</f>
        <v>104120.9281417391</v>
      </c>
      <c r="C8" s="478">
        <f>industrie!C18</f>
        <v>0</v>
      </c>
      <c r="D8" s="478">
        <f>industrie!D18</f>
        <v>170349.86343211203</v>
      </c>
      <c r="E8" s="478">
        <f>industrie!E18</f>
        <v>7249.9547470687357</v>
      </c>
      <c r="F8" s="478">
        <f>industrie!F18</f>
        <v>24699.320743596778</v>
      </c>
      <c r="G8" s="478">
        <f>industrie!G18</f>
        <v>0</v>
      </c>
      <c r="H8" s="478">
        <f>industrie!H18</f>
        <v>0</v>
      </c>
      <c r="I8" s="478">
        <f>industrie!I18</f>
        <v>0</v>
      </c>
      <c r="J8" s="478">
        <f>industrie!J18</f>
        <v>210.84632174733056</v>
      </c>
      <c r="K8" s="478">
        <f>industrie!K18</f>
        <v>0</v>
      </c>
      <c r="L8" s="478">
        <f>industrie!L18</f>
        <v>0</v>
      </c>
      <c r="M8" s="478">
        <f>industrie!M18</f>
        <v>0</v>
      </c>
      <c r="N8" s="478">
        <f>industrie!N18</f>
        <v>31163.27431534417</v>
      </c>
      <c r="O8" s="478">
        <f>industrie!O18</f>
        <v>0</v>
      </c>
      <c r="P8" s="479">
        <f>industrie!P18</f>
        <v>0</v>
      </c>
      <c r="Q8" s="477">
        <f t="shared" si="0"/>
        <v>337794.18770160817</v>
      </c>
    </row>
    <row r="9" spans="1:17" s="483" customFormat="1">
      <c r="A9" s="481" t="s">
        <v>561</v>
      </c>
      <c r="B9" s="482">
        <f>transport!B14</f>
        <v>311.72077617125296</v>
      </c>
      <c r="C9" s="482">
        <f>transport!C14</f>
        <v>0</v>
      </c>
      <c r="D9" s="482">
        <f>transport!D14</f>
        <v>1074.3101710299863</v>
      </c>
      <c r="E9" s="482">
        <f>transport!E14</f>
        <v>1475.4672793473569</v>
      </c>
      <c r="F9" s="482">
        <f>transport!F14</f>
        <v>0</v>
      </c>
      <c r="G9" s="482">
        <f>transport!G14</f>
        <v>569954.71321308194</v>
      </c>
      <c r="H9" s="482">
        <f>transport!H14</f>
        <v>121794.6796523994</v>
      </c>
      <c r="I9" s="482">
        <f>transport!I14</f>
        <v>0</v>
      </c>
      <c r="J9" s="482">
        <f>transport!J14</f>
        <v>0</v>
      </c>
      <c r="K9" s="482">
        <f>transport!K14</f>
        <v>0</v>
      </c>
      <c r="L9" s="482">
        <f>transport!L14</f>
        <v>0</v>
      </c>
      <c r="M9" s="482">
        <f>transport!M14</f>
        <v>36914.779648335869</v>
      </c>
      <c r="N9" s="482">
        <f>transport!N14</f>
        <v>0</v>
      </c>
      <c r="O9" s="482">
        <f>transport!O14</f>
        <v>0</v>
      </c>
      <c r="P9" s="482">
        <f>transport!P14</f>
        <v>0</v>
      </c>
      <c r="Q9" s="481">
        <f>SUM(B9:P9)</f>
        <v>731525.67074036575</v>
      </c>
    </row>
    <row r="10" spans="1:17">
      <c r="A10" s="477" t="s">
        <v>551</v>
      </c>
      <c r="B10" s="478">
        <f>transport!B54</f>
        <v>829.04241956376427</v>
      </c>
      <c r="C10" s="478">
        <f>transport!C54</f>
        <v>0</v>
      </c>
      <c r="D10" s="478">
        <f>transport!D54</f>
        <v>0</v>
      </c>
      <c r="E10" s="478">
        <f>transport!E54</f>
        <v>0</v>
      </c>
      <c r="F10" s="478">
        <f>transport!F54</f>
        <v>0</v>
      </c>
      <c r="G10" s="478">
        <f>transport!G54</f>
        <v>21951.639526453419</v>
      </c>
      <c r="H10" s="478">
        <f>transport!H54</f>
        <v>0</v>
      </c>
      <c r="I10" s="478">
        <f>transport!I54</f>
        <v>0</v>
      </c>
      <c r="J10" s="478">
        <f>transport!J54</f>
        <v>0</v>
      </c>
      <c r="K10" s="478">
        <f>transport!K54</f>
        <v>0</v>
      </c>
      <c r="L10" s="478">
        <f>transport!L54</f>
        <v>0</v>
      </c>
      <c r="M10" s="478">
        <f>transport!M54</f>
        <v>1246.756217913098</v>
      </c>
      <c r="N10" s="478">
        <f>transport!N54</f>
        <v>0</v>
      </c>
      <c r="O10" s="478">
        <f>transport!O54</f>
        <v>0</v>
      </c>
      <c r="P10" s="479">
        <f>transport!P54</f>
        <v>0</v>
      </c>
      <c r="Q10" s="477">
        <f t="shared" si="0"/>
        <v>24027.438163930281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618928.17915879341</v>
      </c>
      <c r="C14" s="488">
        <f t="shared" ref="C14:Q14" ca="1" si="1">SUM(C4:C13)</f>
        <v>357.85714285714289</v>
      </c>
      <c r="D14" s="488">
        <f t="shared" ca="1" si="1"/>
        <v>1194601.0984407233</v>
      </c>
      <c r="E14" s="488">
        <f t="shared" si="1"/>
        <v>21122.481890330284</v>
      </c>
      <c r="F14" s="488">
        <f t="shared" ca="1" si="1"/>
        <v>111157.12933543952</v>
      </c>
      <c r="G14" s="488">
        <f t="shared" si="1"/>
        <v>591906.35273953539</v>
      </c>
      <c r="H14" s="488">
        <f t="shared" si="1"/>
        <v>121794.6796523994</v>
      </c>
      <c r="I14" s="488">
        <f t="shared" si="1"/>
        <v>0</v>
      </c>
      <c r="J14" s="488">
        <f t="shared" si="1"/>
        <v>1373.4678234944049</v>
      </c>
      <c r="K14" s="488">
        <f t="shared" si="1"/>
        <v>0</v>
      </c>
      <c r="L14" s="488">
        <f t="shared" ca="1" si="1"/>
        <v>0</v>
      </c>
      <c r="M14" s="488">
        <f t="shared" si="1"/>
        <v>38161.535866248967</v>
      </c>
      <c r="N14" s="488">
        <f t="shared" ca="1" si="1"/>
        <v>113498.53319456255</v>
      </c>
      <c r="O14" s="488">
        <f t="shared" si="1"/>
        <v>1394.4933333333333</v>
      </c>
      <c r="P14" s="489">
        <f t="shared" si="1"/>
        <v>2078.2666666666669</v>
      </c>
      <c r="Q14" s="489">
        <f t="shared" ca="1" si="1"/>
        <v>2816374.0752443844</v>
      </c>
    </row>
    <row r="16" spans="1:17">
      <c r="A16" s="491" t="s">
        <v>556</v>
      </c>
      <c r="B16" s="841">
        <f ca="1">huishoudens!B10</f>
        <v>0.1710726818550482</v>
      </c>
      <c r="C16" s="841">
        <f ca="1">huishoudens!C10</f>
        <v>0.23705006280279925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32091.407551886237</v>
      </c>
      <c r="C21" s="478">
        <f t="shared" ref="C21:C30" ca="1" si="3">C4*$C$16</f>
        <v>0</v>
      </c>
      <c r="D21" s="478">
        <f t="shared" ref="D21:D30" si="4">D4*$D$16</f>
        <v>122143.03688414133</v>
      </c>
      <c r="E21" s="478">
        <f t="shared" ref="E21:E30" si="5">E4*$E$16</f>
        <v>1867.9428574627491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156102.38729349029</v>
      </c>
    </row>
    <row r="22" spans="1:17">
      <c r="A22" s="477" t="s">
        <v>156</v>
      </c>
      <c r="B22" s="478">
        <f t="shared" ca="1" si="2"/>
        <v>53039.85075978918</v>
      </c>
      <c r="C22" s="478">
        <f t="shared" ca="1" si="3"/>
        <v>71.115018840839795</v>
      </c>
      <c r="D22" s="478">
        <f t="shared" ca="1" si="4"/>
        <v>75588.716019988162</v>
      </c>
      <c r="E22" s="478">
        <f t="shared" si="5"/>
        <v>892.68093212584904</v>
      </c>
      <c r="F22" s="478">
        <f t="shared" ca="1" si="6"/>
        <v>14163.933539663665</v>
      </c>
      <c r="G22" s="478">
        <f t="shared" si="7"/>
        <v>0</v>
      </c>
      <c r="H22" s="478">
        <f t="shared" si="8"/>
        <v>0</v>
      </c>
      <c r="I22" s="478">
        <f t="shared" si="9"/>
        <v>0</v>
      </c>
      <c r="J22" s="478">
        <f t="shared" si="10"/>
        <v>0.26498079249250683</v>
      </c>
      <c r="K22" s="478">
        <f t="shared" si="11"/>
        <v>0</v>
      </c>
      <c r="L22" s="478">
        <f t="shared" ca="1" si="12"/>
        <v>0</v>
      </c>
      <c r="M22" s="478">
        <f t="shared" si="13"/>
        <v>0</v>
      </c>
      <c r="N22" s="478">
        <f t="shared" ca="1" si="14"/>
        <v>0</v>
      </c>
      <c r="O22" s="478">
        <f t="shared" si="15"/>
        <v>0</v>
      </c>
      <c r="P22" s="479">
        <f t="shared" si="16"/>
        <v>0</v>
      </c>
      <c r="Q22" s="477">
        <f t="shared" ref="Q22:Q30" ca="1" si="17">SUM(B22:P22)</f>
        <v>143756.56125120021</v>
      </c>
    </row>
    <row r="23" spans="1:17">
      <c r="A23" s="477" t="s">
        <v>194</v>
      </c>
      <c r="B23" s="478">
        <f t="shared" ca="1" si="2"/>
        <v>1371.1047768977476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1371.1047768977476</v>
      </c>
    </row>
    <row r="24" spans="1:17">
      <c r="A24" s="477" t="s">
        <v>112</v>
      </c>
      <c r="B24" s="478">
        <f t="shared" ca="1" si="2"/>
        <v>1371.9405620833679</v>
      </c>
      <c r="C24" s="478">
        <f t="shared" ca="1" si="3"/>
        <v>13.715039347876242</v>
      </c>
      <c r="D24" s="478">
        <f t="shared" si="4"/>
        <v>8949.9859130619298</v>
      </c>
      <c r="E24" s="478">
        <f t="shared" si="5"/>
        <v>53.508799519922825</v>
      </c>
      <c r="F24" s="478">
        <f t="shared" si="6"/>
        <v>8920.3013543583475</v>
      </c>
      <c r="G24" s="478">
        <f t="shared" si="7"/>
        <v>0</v>
      </c>
      <c r="H24" s="478">
        <f t="shared" si="8"/>
        <v>0</v>
      </c>
      <c r="I24" s="478">
        <f t="shared" si="9"/>
        <v>0</v>
      </c>
      <c r="J24" s="478">
        <f t="shared" si="10"/>
        <v>411.30303082597175</v>
      </c>
      <c r="K24" s="478">
        <f t="shared" si="11"/>
        <v>0</v>
      </c>
      <c r="L24" s="478">
        <f t="shared" si="12"/>
        <v>0</v>
      </c>
      <c r="M24" s="478">
        <f t="shared" si="13"/>
        <v>0</v>
      </c>
      <c r="N24" s="478">
        <f t="shared" si="14"/>
        <v>0</v>
      </c>
      <c r="O24" s="478">
        <f t="shared" si="15"/>
        <v>0</v>
      </c>
      <c r="P24" s="479">
        <f t="shared" si="16"/>
        <v>0</v>
      </c>
      <c r="Q24" s="477">
        <f t="shared" ca="1" si="17"/>
        <v>19720.75469919742</v>
      </c>
    </row>
    <row r="25" spans="1:17">
      <c r="A25" s="477" t="s">
        <v>635</v>
      </c>
      <c r="B25" s="478">
        <f t="shared" ca="1" si="2"/>
        <v>17812.246414444067</v>
      </c>
      <c r="C25" s="478">
        <f t="shared" ca="1" si="3"/>
        <v>0</v>
      </c>
      <c r="D25" s="478">
        <f t="shared" si="4"/>
        <v>34410.672413286637</v>
      </c>
      <c r="E25" s="478">
        <f t="shared" si="5"/>
        <v>1645.7397275846031</v>
      </c>
      <c r="F25" s="478">
        <f t="shared" si="6"/>
        <v>6594.7186385403402</v>
      </c>
      <c r="G25" s="478">
        <f t="shared" si="7"/>
        <v>0</v>
      </c>
      <c r="H25" s="478">
        <f t="shared" si="8"/>
        <v>0</v>
      </c>
      <c r="I25" s="478">
        <f t="shared" si="9"/>
        <v>0</v>
      </c>
      <c r="J25" s="478">
        <f t="shared" si="10"/>
        <v>74.63959789855501</v>
      </c>
      <c r="K25" s="478">
        <f t="shared" si="11"/>
        <v>0</v>
      </c>
      <c r="L25" s="478">
        <f t="shared" si="12"/>
        <v>0</v>
      </c>
      <c r="M25" s="478">
        <f t="shared" si="13"/>
        <v>0</v>
      </c>
      <c r="N25" s="478">
        <f t="shared" si="14"/>
        <v>0</v>
      </c>
      <c r="O25" s="478">
        <f t="shared" si="15"/>
        <v>0</v>
      </c>
      <c r="P25" s="479">
        <f t="shared" si="16"/>
        <v>0</v>
      </c>
      <c r="Q25" s="477">
        <f t="shared" ca="1" si="17"/>
        <v>60538.016791754198</v>
      </c>
    </row>
    <row r="26" spans="1:17" s="483" customFormat="1">
      <c r="A26" s="481" t="s">
        <v>561</v>
      </c>
      <c r="B26" s="835">
        <f t="shared" ca="1" si="2"/>
        <v>53.326909169553453</v>
      </c>
      <c r="C26" s="482">
        <f t="shared" ca="1" si="3"/>
        <v>0</v>
      </c>
      <c r="D26" s="482">
        <f t="shared" si="4"/>
        <v>217.01065454805726</v>
      </c>
      <c r="E26" s="482">
        <f t="shared" si="5"/>
        <v>334.93107241185004</v>
      </c>
      <c r="F26" s="482">
        <f t="shared" si="6"/>
        <v>0</v>
      </c>
      <c r="G26" s="482">
        <f t="shared" si="7"/>
        <v>152177.90842789289</v>
      </c>
      <c r="H26" s="482">
        <f t="shared" si="8"/>
        <v>30326.875233447448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183110.05229746978</v>
      </c>
    </row>
    <row r="27" spans="1:17">
      <c r="A27" s="477" t="s">
        <v>551</v>
      </c>
      <c r="B27" s="478">
        <f t="shared" ca="1" si="2"/>
        <v>141.82651008637123</v>
      </c>
      <c r="C27" s="478">
        <f t="shared" ca="1" si="3"/>
        <v>0</v>
      </c>
      <c r="D27" s="478">
        <f t="shared" si="4"/>
        <v>0</v>
      </c>
      <c r="E27" s="478">
        <f t="shared" si="5"/>
        <v>0</v>
      </c>
      <c r="F27" s="478">
        <f t="shared" si="6"/>
        <v>0</v>
      </c>
      <c r="G27" s="478">
        <f t="shared" si="7"/>
        <v>5861.0877535630634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6002.9142636494344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105881.70348435652</v>
      </c>
      <c r="C31" s="488">
        <f t="shared" ca="1" si="18"/>
        <v>84.830058188716038</v>
      </c>
      <c r="D31" s="488">
        <f t="shared" ca="1" si="18"/>
        <v>241309.42188502615</v>
      </c>
      <c r="E31" s="488">
        <f t="shared" si="18"/>
        <v>4794.8033891049745</v>
      </c>
      <c r="F31" s="488">
        <f t="shared" ca="1" si="18"/>
        <v>29678.953532562351</v>
      </c>
      <c r="G31" s="488">
        <f t="shared" si="18"/>
        <v>158038.99618145596</v>
      </c>
      <c r="H31" s="488">
        <f t="shared" si="18"/>
        <v>30326.875233447448</v>
      </c>
      <c r="I31" s="488">
        <f t="shared" si="18"/>
        <v>0</v>
      </c>
      <c r="J31" s="488">
        <f t="shared" si="18"/>
        <v>486.20760951701925</v>
      </c>
      <c r="K31" s="488">
        <f t="shared" si="18"/>
        <v>0</v>
      </c>
      <c r="L31" s="488">
        <f t="shared" ca="1" si="18"/>
        <v>0</v>
      </c>
      <c r="M31" s="488">
        <f t="shared" si="18"/>
        <v>0</v>
      </c>
      <c r="N31" s="488">
        <f t="shared" ca="1" si="18"/>
        <v>0</v>
      </c>
      <c r="O31" s="488">
        <f t="shared" si="18"/>
        <v>0</v>
      </c>
      <c r="P31" s="489">
        <f t="shared" si="18"/>
        <v>0</v>
      </c>
      <c r="Q31" s="489">
        <f t="shared" ca="1" si="18"/>
        <v>570601.79137365904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0.1710726818550482</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4</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6.2533333333333339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0.1710726818550482</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0.1710726818550482</v>
      </c>
      <c r="C29" s="529">
        <f ca="1">'EF ele_warmte'!B22</f>
        <v>0.23705006280279925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2018-09-06T12:47:26Z</dcterms:modified>
</cp:coreProperties>
</file>