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<sst xmlns="http://schemas.openxmlformats.org/spreadsheetml/2006/main" count="1914" uniqueCount="809">
  <si>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</si>
  <si>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</si>
  <si>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</si>
  <si>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</si>
  <si>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</si>
  <si>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</si>
  <si>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</si>
  <si>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</si>
  <si>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</si>
  <si>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</si>
  <si>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</si>
  <si>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</si>
  <si>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</si>
  <si>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</si>
  <si>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</si>
  <si>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</si>
  <si>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</si>
  <si>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</si>
  <si>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</si>
  <si>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</si>
  <si>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</si>
  <si>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</si>
  <si>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</si>
  <si>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</si>
  <si>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</si>
  <si>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</si>
  <si>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</si>
  <si>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</si>
  <si>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</si>
  <si>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</si>
  <si>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</si>
  <si>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</si>
  <si>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</si>
  <si>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</si>
  <si>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</si>
  <si>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</si>
  <si>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</si>
  <si>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</si>
  <si>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</si>
  <si>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</si>
  <si>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</si>
  <si>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</si>
  <si>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</si>
  <si>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</si>
  <si>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</si>
  <si>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</si>
  <si>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</si>
  <si>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</si>
  <si>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</si>
  <si>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</si>
  <si>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</si>
  <si>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</si>
  <si>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</si>
  <si>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</si>
  <si>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</si>
  <si>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</si>
  <si>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</si>
  <si>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</si>
  <si>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</si>
  <si>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</si>
  <si>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</si>
  <si>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</si>
  <si>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</si>
  <si>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</si>
  <si>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</si>
  <si>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</si>
  <si>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</si>
  <si>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</si>
  <si>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</si>
  <si>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</si>
  <si>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</si>
  <si>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</si>
  <si>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</si>
  <si>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</si>
  <si>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</si>
  <si>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</si>
  <si>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</si>
  <si>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</si>
  <si>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</si>
  <si>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</si>
  <si>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</si>
  <si>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</si>
  <si>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</si>
  <si>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</si>
  <si>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</si>
  <si>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</si>
  <si>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</si>
  <si>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</si>
  <si>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</si>
  <si>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</si>
  <si>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</si>
  <si>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</si>
  <si>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</si>
  <si>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</si>
  <si>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</si>
  <si>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</si>
  <si>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</si>
  <si>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</si>
  <si>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</si>
  <si>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</si>
  <si>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</si>
  <si>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</si>
  <si>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</si>
  <si>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</si>
  <si>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</si>
  <si>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</si>
  <si>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</si>
  <si>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</si>
  <si>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</si>
  <si>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</si>
  <si>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</si>
  <si>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</si>
  <si>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</si>
  <si>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</si>
  <si>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</si>
  <si>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</si>
  <si>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</si>
  <si>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</si>
  <si>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</si>
  <si>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</si>
  <si>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</si>
  <si>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</si>
  <si>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</si>
  <si>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</si>
  <si>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</si>
  <si>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</si>
  <si>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</si>
  <si>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</si>
  <si>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</si>
  <si>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</si>
  <si>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</si>
  <si>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</si>
  <si>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</si>
  <si>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</si>
  <si>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</si>
  <si>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</si>
  <si>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</si>
  <si>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</si>
  <si>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</si>
  <si>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</si>
  <si>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</si>
  <si>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</si>
  <si>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</si>
  <si>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</si>
  <si>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</si>
  <si>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</si>
  <si>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</si>
  <si>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</si>
  <si>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</si>
  <si>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</si>
  <si>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</si>
  <si>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</si>
  <si>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</si>
  <si>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</si>
  <si>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</si>
  <si>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</si>
  <si>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</si>
  <si>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</si>
  <si>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</si>
  <si>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</si>
  <si>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</si>
  <si>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</si>
  <si>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</si>
  <si>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</si>
  <si>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</si>
  <si>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</si>
  <si>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</si>
  <si>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</si>
  <si>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</si>
  <si>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</si>
  <si>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</si>
  <si>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</si>
  <si>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</si>
  <si>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</si>
  <si>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</si>
  <si>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</si>
  <si>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</si>
  <si>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</si>
  <si>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</si>
  <si>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</si>
  <si>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</si>
  <si>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</si>
  <si>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</si>
  <si>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</si>
  <si>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</si>
  <si>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</si>
  <si>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</si>
  <si>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</si>
  <si>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</si>
  <si>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</si>
  <si>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</si>
  <si>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</si>
  <si>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</si>
  <si>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</si>
  <si>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</si>
  <si>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</si>
  <si>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</si>
  <si>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</si>
  <si>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</si>
  <si>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</si>
  <si>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</si>
  <si>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</si>
  <si>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</si>
  <si>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</si>
  <si>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</si>
  <si>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</si>
  <si>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</si>
  <si>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</si>
  <si>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</si>
  <si>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</si>
  <si>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</si>
  <si>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</si>
  <si>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</si>
  <si>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</si>
  <si>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</si>
  <si>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</si>
  <si>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</si>
  <si>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</si>
  <si>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</si>
  <si>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</si>
  <si>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</si>
  <si>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</si>
  <si>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</si>
  <si>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</si>
  <si>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</si>
  <si>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</si>
  <si>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</si>
  <si>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</si>
  <si>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</si>
  <si>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</si>
  <si>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</si>
  <si>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</si>
  <si>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</si>
  <si>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</si>
  <si>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</si>
  <si>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</si>
  <si>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</si>
  <si>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</si>
  <si>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</si>
  <si>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</si>
  <si>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</si>
  <si>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</si>
  <si>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</si>
  <si>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</si>
  <si>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</si>
  <si>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</si>
  <si>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</si>
  <si>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</si>
  <si>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</si>
  <si>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</si>
  <si>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</si>
  <si>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</si>
  <si>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</si>
  <si>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</si>
  <si>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</si>
  <si>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</si>
  <si>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</si>
  <si>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</si>
  <si>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</si>
  <si>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</si>
  <si>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</si>
  <si>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</si>
  <si>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</si>
  <si>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</si>
  <si>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</si>
  <si>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</si>
  <si>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</si>
  <si>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</si>
  <si>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</si>
  <si>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</si>
  <si>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</si>
  <si>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</si>
  <si>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</si>
  <si>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</si>
  <si>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</si>
  <si>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</si>
  <si>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</si>
  <si>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</si>
  <si>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</si>
  <si>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</si>
  <si>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</si>
  <si>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</si>
  <si>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</si>
  <si>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</si>
  <si>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</si>
  <si>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</si>
  <si>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</si>
  <si>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</si>
  <si>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</si>
  <si>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</si>
  <si>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</si>
  <si>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</si>
  <si>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</si>
  <si>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</si>
  <si>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</si>
  <si>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</si>
  <si>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</si>
  <si>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</si>
  <si>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</si>
  <si>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</si>
  <si>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</si>
  <si>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</si>
  <si>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</si>
  <si>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</si>
  <si>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</si>
  <si>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</si>
  <si>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</si>
  <si>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</si>
  <si>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</si>
  <si>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</si>
  <si>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</si>
  <si>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</si>
  <si>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</si>
  <si>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</si>
  <si>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</si>
  <si>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</si>
  <si>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</si>
  <si>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</si>
  <si>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</si>
  <si>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</si>
  <si>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</si>
  <si>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</si>
  <si>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</si>
  <si>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</si>
  <si>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</si>
  <si>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</si>
  <si>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</si>
  <si>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</si>
  <si>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</si>
  <si>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</si>
  <si>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</si>
  <si>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</si>
  <si>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</si>
  <si>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</si>
  <si>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</si>
  <si>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</si>
  <si>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</si>
  <si>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</si>
  <si>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</si>
  <si>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</si>
  <si>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</si>
  <si>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</si>
  <si>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</si>
  <si>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</si>
  <si>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</si>
  <si>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</si>
  <si>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</si>
  <si>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</si>
  <si>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</si>
  <si>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</si>
  <si>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</si>
  <si>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</si>
  <si>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</si>
  <si>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</si>
  <si>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</si>
  <si>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</si>
  <si>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</si>
  <si>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</si>
  <si>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</si>
  <si>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</si>
  <si>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</si>
  <si>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</si>
  <si>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</si>
  <si>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</si>
  <si>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</si>
  <si>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</si>
  <si>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</si>
  <si>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</si>
  <si>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</si>
  <si>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</si>
  <si>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</si>
  <si>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</si>
  <si>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</si>
  <si>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</si>
  <si>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</si>
  <si>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</si>
  <si>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</si>
  <si>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</si>
  <si>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</si>
  <si>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</si>
  <si>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</si>
  <si>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</si>
  <si>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</si>
  <si>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</si>
  <si>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</si>
  <si>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</si>
  <si>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</si>
  <si>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</si>
  <si>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</si>
  <si>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</si>
  <si>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</si>
  <si>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</si>
  <si>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</si>
  <si>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</si>
  <si>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</si>
  <si>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</si>
  <si>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</si>
  <si>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</si>
  <si>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</si>
  <si>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</si>
  <si>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</si>
  <si>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</si>
  <si>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</si>
  <si>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</si>
  <si>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</si>
  <si>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</si>
  <si>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</si>
  <si>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</si>
  <si>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</si>
  <si>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</si>
  <si>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</si>
  <si>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</si>
  <si>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</si>
  <si>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</si>
  <si>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</si>
  <si>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</si>
  <si>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</si>
  <si>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</si>
  <si>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</si>
  <si>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</si>
  <si>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</si>
  <si>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</si>
  <si>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</si>
  <si>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</si>
  <si>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</si>
  <si>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</si>
  <si>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</si>
  <si>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</si>
  <si>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</si>
  <si>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</si>
  <si>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</si>
  <si>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</si>
  <si>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</si>
  <si>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</si>
  <si>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</si>
  <si>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</si>
  <si>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</si>
  <si>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</si>
  <si>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</si>
  <si>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</si>
  <si>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</si>
  <si>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</si>
  <si>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</si>
  <si>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</si>
  <si>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</si>
  <si>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</si>
  <si>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</si>
  <si>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</si>
  <si>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</si>
  <si>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</si>
  <si>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</si>
  <si>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</si>
  <si>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</si>
  <si>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</si>
  <si>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</si>
  <si>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</si>
  <si>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</si>
  <si>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</si>
  <si>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</si>
  <si>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</si>
  <si>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</si>
  <si>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</si>
  <si>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</si>
  <si>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</si>
  <si>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</si>
  <si>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</si>
  <si>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</si>
  <si>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</si>
  <si>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</si>
  <si>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</si>
  <si>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</si>
  <si>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</si>
  <si>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</si>
  <si>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</si>
  <si>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</si>
  <si>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</si>
  <si>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</si>
  <si>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</si>
  <si>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</si>
  <si>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</si>
  <si>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</si>
  <si>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</si>
  <si>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</si>
  <si>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</si>
  <si>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</si>
  <si>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</si>
  <si>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</si>
  <si>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</si>
  <si>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</si>
  <si>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</si>
  <si>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</si>
  <si>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</si>
  <si>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</si>
  <si>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</si>
  <si>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</si>
  <si>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</si>
  <si>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</si>
  <si>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</si>
  <si>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</si>
  <si>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</si>
  <si>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</si>
  <si>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</si>
  <si>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</si>
  <si>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</si>
  <si>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</si>
  <si>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</si>
  <si>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</si>
  <si>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</si>
  <si>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</si>
  <si>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</si>
  <si>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</si>
  <si>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</si>
  <si>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</si>
  <si>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</si>
  <si>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</si>
  <si>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</si>
  <si>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</si>
  <si>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</si>
  <si>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</si>
  <si>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</si>
  <si>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</si>
  <si>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</si>
  <si>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</si>
  <si>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</si>
  <si>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</si>
  <si>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</si>
  <si>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</si>
  <si>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</si>
  <si>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</si>
  <si>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</si>
  <si>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</si>
  <si>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</si>
  <si>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</si>
  <si>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</si>
  <si>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</si>
  <si>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</si>
  <si>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</si>
  <si>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</si>
  <si>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</si>
  <si>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</si>
  <si>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</si>
  <si>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</si>
  <si>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</si>
  <si>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</si>
  <si>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</si>
  <si>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</si>
  <si>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</si>
  <si>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</si>
  <si>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</si>
  <si>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</si>
  <si>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</si>
  <si>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</si>
  <si>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</si>
  <si>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</si>
  <si>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</si>
  <si>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</si>
  <si>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</si>
  <si>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</si>
  <si>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</si>
  <si>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</si>
  <si>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</si>
  <si>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</si>
  <si>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</si>
  <si>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</si>
  <si>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</si>
  <si>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</si>
  <si>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</si>
  <si>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</si>
  <si>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</si>
  <si>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</si>
  <si>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</si>
  <si>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</si>
  <si>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</si>
  <si>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</si>
  <si>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</si>
  <si>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</si>
  <si>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</si>
  <si>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</si>
  <si>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</si>
  <si>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</si>
  <si>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</si>
  <si>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</si>
  <si>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</si>
  <si>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</si>
  <si>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</si>
  <si>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</si>
  <si>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</si>
  <si>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</si>
  <si>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</si>
  <si>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</si>
  <si>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</si>
  <si>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</si>
  <si>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</si>
  <si>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</si>
  <si>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</si>
  <si>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</si>
  <si>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</si>
  <si>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</si>
  <si>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</si>
  <si>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</si>
  <si>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</si>
  <si>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</si>
  <si>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</si>
  <si>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</si>
  <si>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</si>
  <si>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</si>
  <si>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</si>
  <si>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</si>
  <si>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</si>
  <si>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</si>
  <si>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</si>
  <si>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</si>
  <si>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</si>
  <si>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</si>
  <si>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</si>
  <si>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</si>
  <si>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</si>
  <si>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</si>
  <si>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</si>
  <si>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</si>
  <si>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</si>
  <si>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</si>
  <si>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</si>
  <si>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</si>
  <si>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</si>
  <si>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</si>
  <si>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</si>
  <si>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</si>
  <si>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</si>
  <si>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</si>
  <si>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</si>
  <si>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</si>
  <si>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</si>
  <si>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</si>
  <si>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</si>
  <si>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</si>
  <si>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</si>
  <si>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</si>
  <si>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</si>
  <si>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</si>
  <si>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</si>
  <si>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</si>
  <si>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</si>
  <si>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</si>
  <si>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</si>
  <si>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</si>
  <si>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</si>
  <si>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</si>
  <si>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</si>
  <si>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</si>
  <si>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</si>
  <si>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</si>
  <si>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</si>
  <si>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</si>
  <si>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</si>
  <si>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</si>
  <si>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</si>
  <si>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</si>
  <si>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</si>
  <si>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</si>
  <si>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</si>
  <si>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</si>
  <si>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</si>
  <si>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</si>
  <si>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</si>
  <si>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</si>
  <si>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</si>
  <si>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</si>
  <si>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</si>
  <si>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</si>
  <si>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</si>
  <si>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</si>
  <si>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</si>
  <si>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</si>
  <si>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</si>
  <si>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</si>
  <si>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</si>
  <si>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</si>
  <si>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</si>
  <si>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</si>
  <si>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</si>
  <si>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</si>
  <si>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</si>
  <si>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</si>
  <si>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</si>
  <si>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</si>
  <si>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</si>
  <si>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</si>
  <si>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</si>
  <si>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</si>
  <si>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</si>
  <si>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</si>
  <si>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</si>
  <si>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</si>
  <si>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</si>
  <si>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</si>
  <si>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</si>
  <si>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</si>
  <si>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</si>
  <si>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</si>
  <si>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</si>
  <si>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</si>
  <si>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</si>
  <si>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</si>
  <si>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</si>
  <si>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</si>
  <si>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</si>
  <si>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</si>
  <si>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</si>
  <si>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</si>
  <si>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</si>
  <si>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</si>
  <si>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</si>
  <si>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</si>
  <si>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</si>
  <si>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</si>
  <si>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</si>
  <si>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</si>
  <si>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</si>
  <si>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</si>
  <si>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</si>
  <si>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</si>
  <si>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</si>
  <si>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</si>
  <si>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</si>
  <si>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</si>
  <si>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</si>
  <si>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</si>
  <si>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</si>
  <si>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</si>
  <si>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</si>
  <si>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</si>
  <si>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</si>
  <si>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</si>
  <si>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</si>
  <si>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</si>
  <si>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</si>
  <si>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</si>
  <si>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</si>
  <si>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</si>
  <si>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</si>
  <si>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</si>
  <si>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</si>
  <si>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</si>
  <si>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</si>
  <si>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</si>
  <si>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</si>
  <si>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</si>
  <si>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</si>
  <si>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</si>
  <si>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</si>
  <si>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</si>
  <si>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</si>
  <si>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</si>
  <si>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</si>
  <si>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</si>
  <si>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</si>
  <si>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</si>
  <si>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</si>
  <si>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</si>
  <si>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</si>
  <si>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</si>
  <si>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</si>
  <si>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</si>
  <si>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</si>
  <si>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</si>
  <si>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</si>
  <si>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</si>
  <si>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</si>
  <si>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</si>
  <si>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</si>
  <si>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</si>
  <si>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</si>
  <si>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</si>
  <si>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</si>
  <si>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</si>
  <si>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</si>
  <si>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</si>
  <si>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</si>
  <si>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</si>
  <si>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</si>
  <si>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</si>
  <si>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</si>
  <si>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</si>
  <si>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</si>
  <si>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</si>
  <si>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</si>
  <si>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</si>
  <si>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</si>
  <si>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</si>
  <si>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</si>
  <si>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</si>
  <si>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</si>
  <si>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</si>
  <si>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</si>
  <si>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</si>
  <si>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</si>
  <si>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</si>
  <si>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</si>
  <si>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</si>
  <si>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</si>
  <si>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24137</t>
  </si>
  <si>
    <t>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</si>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</sst>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56788.356266822506</c:v>
                </c:pt>
                <c:pt idx="1">
                  <c:v>8418.3064037427703</c:v>
                </c:pt>
                <c:pt idx="2">
                  <c:v>452.947</c:v>
                </c:pt>
                <c:pt idx="3">
                  <c:v>12672.918231119489</c:v>
                </c:pt>
                <c:pt idx="4">
                  <c:v>1090.9869393151962</c:v>
                </c:pt>
                <c:pt idx="5">
                  <c:v>47491.347644989663</c:v>
                </c:pt>
                <c:pt idx="6">
                  <c:v>538.55643924669471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56788.356266822506</c:v>
                </c:pt>
                <c:pt idx="1">
                  <c:v>8418.3064037427703</c:v>
                </c:pt>
                <c:pt idx="2">
                  <c:v>452.947</c:v>
                </c:pt>
                <c:pt idx="3">
                  <c:v>12672.918231119489</c:v>
                </c:pt>
                <c:pt idx="4">
                  <c:v>1090.9869393151962</c:v>
                </c:pt>
                <c:pt idx="5">
                  <c:v>47491.347644989663</c:v>
                </c:pt>
                <c:pt idx="6">
                  <c:v>538.55643924669471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12587.279536998813</c:v>
                </c:pt>
                <c:pt idx="1">
                  <c:v>1619.273689324029</c:v>
                </c:pt>
                <c:pt idx="2">
                  <c:v>82.55868201241536</c:v>
                </c:pt>
                <c:pt idx="3">
                  <c:v>3205.0280698981305</c:v>
                </c:pt>
                <c:pt idx="4">
                  <c:v>205.43484672002859</c:v>
                </c:pt>
                <c:pt idx="5">
                  <c:v>11891.699789995415</c:v>
                </c:pt>
                <c:pt idx="6">
                  <c:v>136.06658776988323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12587.279536998813</c:v>
                </c:pt>
                <c:pt idx="1">
                  <c:v>1619.273689324029</c:v>
                </c:pt>
                <c:pt idx="2">
                  <c:v>82.55868201241536</c:v>
                </c:pt>
                <c:pt idx="3">
                  <c:v>3205.0280698981305</c:v>
                </c:pt>
                <c:pt idx="4">
                  <c:v>205.43484672002859</c:v>
                </c:pt>
                <c:pt idx="5">
                  <c:v>11891.699789995415</c:v>
                </c:pt>
                <c:pt idx="6">
                  <c:v>136.06658776988323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2089</v>
      </c>
      <c r="C9" s="342">
        <v>2130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1708.98</v>
      </c>
    </row>
    <row r="15" spans="1:6">
      <c r="A15" s="348" t="s">
        <v>184</v>
      </c>
      <c r="B15" s="334">
        <v>14</v>
      </c>
    </row>
    <row r="16" spans="1:6">
      <c r="A16" s="348" t="s">
        <v>6</v>
      </c>
      <c r="B16" s="334">
        <v>419</v>
      </c>
    </row>
    <row r="17" spans="1:6">
      <c r="A17" s="348" t="s">
        <v>7</v>
      </c>
      <c r="B17" s="334">
        <v>635</v>
      </c>
    </row>
    <row r="18" spans="1:6">
      <c r="A18" s="348" t="s">
        <v>8</v>
      </c>
      <c r="B18" s="334">
        <v>805</v>
      </c>
    </row>
    <row r="19" spans="1:6">
      <c r="A19" s="348" t="s">
        <v>9</v>
      </c>
      <c r="B19" s="334">
        <v>644</v>
      </c>
    </row>
    <row r="20" spans="1:6">
      <c r="A20" s="348" t="s">
        <v>10</v>
      </c>
      <c r="B20" s="334">
        <v>426</v>
      </c>
    </row>
    <row r="21" spans="1:6">
      <c r="A21" s="348" t="s">
        <v>11</v>
      </c>
      <c r="B21" s="334">
        <v>6836</v>
      </c>
    </row>
    <row r="22" spans="1:6">
      <c r="A22" s="348" t="s">
        <v>12</v>
      </c>
      <c r="B22" s="334">
        <v>5590</v>
      </c>
    </row>
    <row r="23" spans="1:6">
      <c r="A23" s="348" t="s">
        <v>13</v>
      </c>
      <c r="B23" s="334">
        <v>436</v>
      </c>
    </row>
    <row r="24" spans="1:6">
      <c r="A24" s="348" t="s">
        <v>14</v>
      </c>
      <c r="B24" s="334">
        <v>5</v>
      </c>
    </row>
    <row r="25" spans="1:6">
      <c r="A25" s="348" t="s">
        <v>15</v>
      </c>
      <c r="B25" s="334">
        <v>1729</v>
      </c>
    </row>
    <row r="26" spans="1:6">
      <c r="A26" s="348" t="s">
        <v>16</v>
      </c>
      <c r="B26" s="334">
        <v>426</v>
      </c>
    </row>
    <row r="27" spans="1:6">
      <c r="A27" s="348" t="s">
        <v>17</v>
      </c>
      <c r="B27" s="334">
        <v>0</v>
      </c>
    </row>
    <row r="28" spans="1:6" s="356" customFormat="1">
      <c r="A28" s="355" t="s">
        <v>18</v>
      </c>
      <c r="B28" s="355">
        <v>2326</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483</v>
      </c>
      <c r="D39" s="334">
        <v>8793434.0999999996</v>
      </c>
      <c r="E39" s="334">
        <v>1961</v>
      </c>
      <c r="F39" s="334">
        <v>7565220.4000000004</v>
      </c>
    </row>
    <row r="40" spans="1:6">
      <c r="A40" s="348" t="s">
        <v>30</v>
      </c>
      <c r="B40" s="348" t="s">
        <v>29</v>
      </c>
      <c r="C40" s="334">
        <v>0</v>
      </c>
      <c r="D40" s="334">
        <v>0</v>
      </c>
      <c r="E40" s="334">
        <v>0</v>
      </c>
      <c r="F40" s="334">
        <v>0</v>
      </c>
    </row>
    <row r="41" spans="1:6">
      <c r="A41" s="348" t="s">
        <v>32</v>
      </c>
      <c r="B41" s="348" t="s">
        <v>33</v>
      </c>
      <c r="C41" s="334">
        <v>5</v>
      </c>
      <c r="D41" s="334">
        <v>99776</v>
      </c>
      <c r="E41" s="334">
        <v>38</v>
      </c>
      <c r="F41" s="334">
        <v>258249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136495.85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195557</v>
      </c>
    </row>
    <row r="51" spans="1:6">
      <c r="A51" s="348" t="s">
        <v>42</v>
      </c>
      <c r="B51" s="348" t="s">
        <v>43</v>
      </c>
      <c r="C51" s="334">
        <v>4</v>
      </c>
      <c r="D51" s="334">
        <v>101393</v>
      </c>
      <c r="E51" s="334">
        <v>76</v>
      </c>
      <c r="F51" s="334">
        <v>2355983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452947</v>
      </c>
    </row>
    <row r="55" spans="1:6">
      <c r="A55" s="348" t="s">
        <v>46</v>
      </c>
      <c r="B55" s="348" t="s">
        <v>29</v>
      </c>
      <c r="C55" s="334">
        <v>0</v>
      </c>
      <c r="D55" s="334">
        <v>0</v>
      </c>
      <c r="E55" s="334">
        <v>0</v>
      </c>
      <c r="F55" s="334">
        <v>0</v>
      </c>
    </row>
    <row r="56" spans="1:6">
      <c r="A56" s="348" t="s">
        <v>48</v>
      </c>
      <c r="B56" s="348" t="s">
        <v>29</v>
      </c>
      <c r="C56" s="334">
        <v>4</v>
      </c>
      <c r="D56" s="334">
        <v>149415</v>
      </c>
      <c r="E56" s="334">
        <v>8</v>
      </c>
      <c r="F56" s="334">
        <v>366884</v>
      </c>
    </row>
    <row r="57" spans="1:6">
      <c r="A57" s="348" t="s">
        <v>49</v>
      </c>
      <c r="B57" s="348" t="s">
        <v>50</v>
      </c>
      <c r="C57" s="334">
        <v>5</v>
      </c>
      <c r="D57" s="334">
        <v>136635</v>
      </c>
      <c r="E57" s="334">
        <v>34</v>
      </c>
      <c r="F57" s="334">
        <v>243623</v>
      </c>
    </row>
    <row r="58" spans="1:6">
      <c r="A58" s="348" t="s">
        <v>49</v>
      </c>
      <c r="B58" s="348" t="s">
        <v>51</v>
      </c>
      <c r="C58" s="334">
        <v>7</v>
      </c>
      <c r="D58" s="334">
        <v>197468</v>
      </c>
      <c r="E58" s="334">
        <v>10</v>
      </c>
      <c r="F58" s="334">
        <v>105328</v>
      </c>
    </row>
    <row r="59" spans="1:6">
      <c r="A59" s="348" t="s">
        <v>49</v>
      </c>
      <c r="B59" s="348" t="s">
        <v>52</v>
      </c>
      <c r="C59" s="334">
        <v>8</v>
      </c>
      <c r="D59" s="334">
        <v>270681</v>
      </c>
      <c r="E59" s="334">
        <v>59</v>
      </c>
      <c r="F59" s="334">
        <v>3859967.9</v>
      </c>
    </row>
    <row r="60" spans="1:6">
      <c r="A60" s="348" t="s">
        <v>49</v>
      </c>
      <c r="B60" s="348" t="s">
        <v>53</v>
      </c>
      <c r="C60" s="334">
        <v>6</v>
      </c>
      <c r="D60" s="334">
        <v>222183</v>
      </c>
      <c r="E60" s="334">
        <v>17</v>
      </c>
      <c r="F60" s="334">
        <v>241264</v>
      </c>
    </row>
    <row r="61" spans="1:6">
      <c r="A61" s="348" t="s">
        <v>49</v>
      </c>
      <c r="B61" s="348" t="s">
        <v>54</v>
      </c>
      <c r="C61" s="334">
        <v>31</v>
      </c>
      <c r="D61" s="334">
        <v>1094328.2000000002</v>
      </c>
      <c r="E61" s="334">
        <v>77</v>
      </c>
      <c r="F61" s="334">
        <v>857397.6</v>
      </c>
    </row>
    <row r="62" spans="1:6">
      <c r="A62" s="348" t="s">
        <v>49</v>
      </c>
      <c r="B62" s="348" t="s">
        <v>55</v>
      </c>
      <c r="C62" s="334">
        <v>0</v>
      </c>
      <c r="D62" s="334">
        <v>0</v>
      </c>
      <c r="E62" s="334">
        <v>3</v>
      </c>
      <c r="F62" s="334">
        <v>29665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31531966</v>
      </c>
      <c r="E73" s="476">
        <v>32020105.865090206</v>
      </c>
    </row>
    <row r="74" spans="1:6">
      <c r="A74" s="348" t="s">
        <v>64</v>
      </c>
      <c r="B74" s="348" t="s">
        <v>657</v>
      </c>
      <c r="C74" s="1213" t="s">
        <v>659</v>
      </c>
      <c r="D74" s="476">
        <v>5385211.2464570599</v>
      </c>
      <c r="E74" s="476">
        <v>5519352.3959639417</v>
      </c>
    </row>
    <row r="75" spans="1:6">
      <c r="A75" s="348" t="s">
        <v>65</v>
      </c>
      <c r="B75" s="348" t="s">
        <v>656</v>
      </c>
      <c r="C75" s="1213" t="s">
        <v>660</v>
      </c>
      <c r="D75" s="476">
        <v>14481926</v>
      </c>
      <c r="E75" s="476">
        <v>14658921.843799856</v>
      </c>
    </row>
    <row r="76" spans="1:6">
      <c r="A76" s="348" t="s">
        <v>65</v>
      </c>
      <c r="B76" s="348" t="s">
        <v>657</v>
      </c>
      <c r="C76" s="1213" t="s">
        <v>661</v>
      </c>
      <c r="D76" s="476">
        <v>261850.24645706033</v>
      </c>
      <c r="E76" s="476">
        <v>267089.91082037496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146065.50708587936</v>
      </c>
      <c r="C83" s="476">
        <v>146264.28062812725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1823.9643359630863</v>
      </c>
    </row>
    <row r="92" spans="1:6">
      <c r="A92" s="341" t="s">
        <v>69</v>
      </c>
      <c r="B92" s="342">
        <v>1355.7039399937196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18143.764103541569</v>
      </c>
      <c r="C3" s="43" t="s">
        <v>170</v>
      </c>
      <c r="D3" s="43"/>
      <c r="E3" s="154"/>
      <c r="F3" s="43"/>
      <c r="G3" s="43"/>
      <c r="H3" s="43"/>
      <c r="I3" s="43"/>
      <c r="J3" s="43"/>
      <c r="K3" s="96"/>
    </row>
    <row r="4" spans="1:11">
      <c r="A4" s="383" t="s">
        <v>171</v>
      </c>
      <c r="B4" s="49">
        <f>IF(ISERROR('SEAP template'!B69),0,'SEAP template'!B69)</f>
        <v>3179.6682759568057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0.18227007136025927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452.947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452.947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0.18227007136025927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82.55868201241536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7565.2204000000002</v>
      </c>
      <c r="C5" s="17">
        <f>IF(ISERROR('Eigen informatie GS &amp; warmtenet'!B57),0,'Eigen informatie GS &amp; warmtenet'!B57)</f>
        <v>0</v>
      </c>
      <c r="D5" s="30">
        <f>(SUM(HH_hh_gas_kWh,HH_rest_gas_kWh)/1000)*0.902</f>
        <v>7931.6775582000009</v>
      </c>
      <c r="E5" s="17">
        <f>B46*B57</f>
        <v>2736.9070021647667</v>
      </c>
      <c r="F5" s="17">
        <f>B51*B62</f>
        <v>30737.162729445517</v>
      </c>
      <c r="G5" s="18"/>
      <c r="H5" s="17"/>
      <c r="I5" s="17"/>
      <c r="J5" s="17">
        <f>B50*B61+C50*C61</f>
        <v>1258.7936727412616</v>
      </c>
      <c r="K5" s="17"/>
      <c r="L5" s="17"/>
      <c r="M5" s="17"/>
      <c r="N5" s="17">
        <f>B48*B59+C48*C59</f>
        <v>4017.8839016411994</v>
      </c>
      <c r="O5" s="17">
        <f>B69*B70*B71</f>
        <v>87.546666666666681</v>
      </c>
      <c r="P5" s="17">
        <f>B77*B78*B79/1000-B77*B78*B79/1000/B80</f>
        <v>629.20000000000005</v>
      </c>
    </row>
    <row r="6" spans="1:16">
      <c r="A6" s="16" t="s">
        <v>621</v>
      </c>
      <c r="B6" s="843">
        <f>kWh_PV_kleiner_dan_10kW</f>
        <v>1823.9643359630863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9389.1847359630865</v>
      </c>
      <c r="C8" s="21">
        <f>C5</f>
        <v>0</v>
      </c>
      <c r="D8" s="21">
        <f>D5</f>
        <v>7931.6775582000009</v>
      </c>
      <c r="E8" s="21">
        <f>E5</f>
        <v>2736.9070021647667</v>
      </c>
      <c r="F8" s="21">
        <f>F5</f>
        <v>30737.162729445517</v>
      </c>
      <c r="G8" s="21"/>
      <c r="H8" s="21"/>
      <c r="I8" s="21"/>
      <c r="J8" s="21">
        <f>J5</f>
        <v>1258.7936727412616</v>
      </c>
      <c r="K8" s="21"/>
      <c r="L8" s="21">
        <f>L5</f>
        <v>0</v>
      </c>
      <c r="M8" s="21">
        <f>M5</f>
        <v>0</v>
      </c>
      <c r="N8" s="21">
        <f>N5</f>
        <v>4017.8839016411994</v>
      </c>
      <c r="O8" s="21">
        <f>O5</f>
        <v>87.546666666666681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0.18227007136025927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1711.367371838649</v>
      </c>
      <c r="C12" s="23">
        <f ca="1">C10*C8</f>
        <v>0</v>
      </c>
      <c r="D12" s="23">
        <f>D8*D10</f>
        <v>1602.1988667564003</v>
      </c>
      <c r="E12" s="23">
        <f>E10*E8</f>
        <v>621.27788949140211</v>
      </c>
      <c r="F12" s="23">
        <f>F10*F8</f>
        <v>8206.8224487619536</v>
      </c>
      <c r="G12" s="23"/>
      <c r="H12" s="23"/>
      <c r="I12" s="23"/>
      <c r="J12" s="23">
        <f>J10*J8</f>
        <v>445.61296015040659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2089</v>
      </c>
      <c r="C28" s="36"/>
      <c r="D28" s="228"/>
    </row>
    <row r="29" spans="1:7" s="15" customFormat="1">
      <c r="A29" s="230" t="s">
        <v>795</v>
      </c>
      <c r="B29" s="37">
        <f>SUM(HH_hh_gas_aantal,HH_rest_gas_aantal)</f>
        <v>483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483</v>
      </c>
      <c r="C32" s="167">
        <f>IF(ISERROR(B32/SUM($B$32,$B$34,$B$35,$B$36,$B$38,$B$39)*100),0,B32/SUM($B$32,$B$34,$B$35,$B$36,$B$38,$B$39)*100)</f>
        <v>23.492217898832685</v>
      </c>
      <c r="D32" s="233"/>
      <c r="G32" s="15"/>
    </row>
    <row r="33" spans="1:7">
      <c r="A33" s="171" t="s">
        <v>72</v>
      </c>
      <c r="B33" s="34" t="s">
        <v>111</v>
      </c>
      <c r="C33" s="167"/>
      <c r="D33" s="233"/>
      <c r="G33" s="15"/>
    </row>
    <row r="34" spans="1:7">
      <c r="A34" s="171" t="s">
        <v>73</v>
      </c>
      <c r="B34" s="33">
        <f>IF((($B$28-$B$32-$B$39-$B$77-$B$38)*C20/100)&lt;0,0,($B$28-$B$32-$B$39-$B$77-$B$38)*C20/100)</f>
        <v>129.26136363636365</v>
      </c>
      <c r="C34" s="167">
        <f>IF(ISERROR(B34/SUM($B$32,$B$34,$B$35,$B$36,$B$38,$B$39)*100),0,B34/SUM($B$32,$B$34,$B$35,$B$36,$B$38,$B$39)*100)</f>
        <v>6.2870313052706059</v>
      </c>
      <c r="D34" s="233"/>
      <c r="G34" s="15"/>
    </row>
    <row r="35" spans="1:7">
      <c r="A35" s="171" t="s">
        <v>74</v>
      </c>
      <c r="B35" s="33">
        <f>IF((($B$28-$B$32-$B$39-$B$77-$B$38)*C21/100)&lt;0,0,($B$28-$B$32-$B$39-$B$77-$B$38)*C21/100)</f>
        <v>165.05681818181824</v>
      </c>
      <c r="C35" s="167">
        <f>IF(ISERROR(B35/SUM($B$32,$B$34,$B$35,$B$36,$B$38,$B$39)*100),0,B35/SUM($B$32,$B$34,$B$35,$B$36,$B$38,$B$39)*100)</f>
        <v>8.0280553590378521</v>
      </c>
      <c r="D35" s="233"/>
      <c r="G35" s="15"/>
    </row>
    <row r="36" spans="1:7">
      <c r="A36" s="171" t="s">
        <v>75</v>
      </c>
      <c r="B36" s="33">
        <f>IF((($B$28-$B$32-$B$39-$B$77-$B$38)*C22/100)&lt;0,0,($B$28-$B$32-$B$39-$B$77-$B$38)*C22/100)</f>
        <v>55.681818181818187</v>
      </c>
      <c r="C36" s="167">
        <f>IF(ISERROR(B36/SUM($B$32,$B$34,$B$35,$B$36,$B$38,$B$39)*100),0,B36/SUM($B$32,$B$34,$B$35,$B$36,$B$38,$B$39)*100)</f>
        <v>2.7082596391934914</v>
      </c>
      <c r="D36" s="233"/>
      <c r="G36" s="15"/>
    </row>
    <row r="37" spans="1:7">
      <c r="A37" s="171" t="s">
        <v>76</v>
      </c>
      <c r="B37" s="34" t="s">
        <v>111</v>
      </c>
      <c r="C37" s="167"/>
      <c r="D37" s="173"/>
      <c r="G37" s="15"/>
    </row>
    <row r="38" spans="1:7">
      <c r="A38" s="171" t="s">
        <v>77</v>
      </c>
      <c r="B38" s="33">
        <f>IF((B24-(B29-B18)*0.1)&lt;0,0,B24-(B29-B18)*0.1)</f>
        <v>35.699999999999996</v>
      </c>
      <c r="C38" s="167">
        <f>IF(ISERROR(B38/SUM($B$32,$B$34,$B$35,$B$36,$B$38,$B$39)*100),0,B38/SUM($B$32,$B$34,$B$35,$B$36,$B$38,$B$39)*100)</f>
        <v>1.7363813229571983</v>
      </c>
      <c r="D38" s="234"/>
      <c r="G38" s="15"/>
    </row>
    <row r="39" spans="1:7">
      <c r="A39" s="171" t="s">
        <v>78</v>
      </c>
      <c r="B39" s="33">
        <f>IF((B25-(B29-B18))&lt;0,0,B25-(B29-B18)*0.9)</f>
        <v>1187.3</v>
      </c>
      <c r="C39" s="167">
        <f>IF(ISERROR(B39/SUM($B$32,$B$34,$B$35,$B$36,$B$38,$B$39)*100),0,B39/SUM($B$32,$B$34,$B$35,$B$36,$B$38,$B$39)*100)</f>
        <v>57.748054474708169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483</v>
      </c>
      <c r="C44" s="34" t="s">
        <v>111</v>
      </c>
      <c r="D44" s="174"/>
    </row>
    <row r="45" spans="1:7">
      <c r="A45" s="171" t="s">
        <v>72</v>
      </c>
      <c r="B45" s="33" t="str">
        <f t="shared" si="0"/>
        <v>-</v>
      </c>
      <c r="C45" s="34" t="s">
        <v>111</v>
      </c>
      <c r="D45" s="174"/>
    </row>
    <row r="46" spans="1:7">
      <c r="A46" s="171" t="s">
        <v>73</v>
      </c>
      <c r="B46" s="33">
        <f t="shared" si="0"/>
        <v>129.26136363636365</v>
      </c>
      <c r="C46" s="34" t="s">
        <v>111</v>
      </c>
      <c r="D46" s="174"/>
    </row>
    <row r="47" spans="1:7">
      <c r="A47" s="171" t="s">
        <v>74</v>
      </c>
      <c r="B47" s="33">
        <f t="shared" si="0"/>
        <v>165.05681818181824</v>
      </c>
      <c r="C47" s="34" t="s">
        <v>111</v>
      </c>
      <c r="D47" s="174"/>
    </row>
    <row r="48" spans="1:7">
      <c r="A48" s="171" t="s">
        <v>75</v>
      </c>
      <c r="B48" s="33">
        <f t="shared" si="0"/>
        <v>55.681818181818187</v>
      </c>
      <c r="C48" s="33">
        <f>B48*10</f>
        <v>556.81818181818187</v>
      </c>
      <c r="D48" s="234"/>
    </row>
    <row r="49" spans="1:6">
      <c r="A49" s="171" t="s">
        <v>76</v>
      </c>
      <c r="B49" s="33" t="str">
        <f t="shared" si="0"/>
        <v>-</v>
      </c>
      <c r="C49" s="34" t="s">
        <v>111</v>
      </c>
      <c r="D49" s="234"/>
    </row>
    <row r="50" spans="1:6">
      <c r="A50" s="171" t="s">
        <v>77</v>
      </c>
      <c r="B50" s="33">
        <f t="shared" si="0"/>
        <v>35.699999999999996</v>
      </c>
      <c r="C50" s="33">
        <f>B50*2</f>
        <v>71.399999999999991</v>
      </c>
      <c r="D50" s="234"/>
    </row>
    <row r="51" spans="1:6">
      <c r="A51" s="171" t="s">
        <v>78</v>
      </c>
      <c r="B51" s="33">
        <f t="shared" si="0"/>
        <v>1187.3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5337.2455</v>
      </c>
      <c r="C5" s="17">
        <f>IF(ISERROR('Eigen informatie GS &amp; warmtenet'!B58),0,'Eigen informatie GS &amp; warmtenet'!B58)</f>
        <v>0</v>
      </c>
      <c r="D5" s="30">
        <f>SUM(D6:D12)</f>
        <v>1733.0082704000004</v>
      </c>
      <c r="E5" s="17">
        <f>SUM(E6:E12)</f>
        <v>144.2053754722489</v>
      </c>
      <c r="F5" s="17">
        <f>SUM(F6:F12)</f>
        <v>987.45096753288499</v>
      </c>
      <c r="G5" s="18"/>
      <c r="H5" s="17"/>
      <c r="I5" s="17"/>
      <c r="J5" s="17">
        <f>SUM(J6:J12)</f>
        <v>5.288100354208753E-3</v>
      </c>
      <c r="K5" s="17"/>
      <c r="L5" s="17"/>
      <c r="M5" s="17"/>
      <c r="N5" s="17">
        <f>SUM(N6:N12)</f>
        <v>214.82766890394888</v>
      </c>
      <c r="O5" s="17">
        <f>B38*B39*B40</f>
        <v>1.5633333333333335</v>
      </c>
      <c r="P5" s="17">
        <f>B46*B47*B48/1000-B46*B47*B48/1000/B49</f>
        <v>0</v>
      </c>
      <c r="R5" s="32"/>
    </row>
    <row r="6" spans="1:18">
      <c r="A6" s="32" t="s">
        <v>54</v>
      </c>
      <c r="B6" s="37">
        <f>B26</f>
        <v>857.39760000000001</v>
      </c>
      <c r="C6" s="33"/>
      <c r="D6" s="37">
        <f>IF(ISERROR(TER_kantoor_gas_kWh/1000),0,TER_kantoor_gas_kWh/1000)*0.902</f>
        <v>987.08403640000017</v>
      </c>
      <c r="E6" s="33">
        <f>$C$26*'E Balans VL '!I12/100/3.6*1000000</f>
        <v>5.3738829908257669E-3</v>
      </c>
      <c r="F6" s="33">
        <f>$C$26*('E Balans VL '!L12+'E Balans VL '!N12)/100/3.6*1000000</f>
        <v>128.84290130609389</v>
      </c>
      <c r="G6" s="34"/>
      <c r="H6" s="33"/>
      <c r="I6" s="33"/>
      <c r="J6" s="33">
        <f>$C$26*('E Balans VL '!D12+'E Balans VL '!E12)/100/3.6*1000000</f>
        <v>0</v>
      </c>
      <c r="K6" s="33"/>
      <c r="L6" s="33"/>
      <c r="M6" s="33"/>
      <c r="N6" s="33">
        <f>$C$26*'E Balans VL '!Y12/100/3.6*1000000</f>
        <v>0.81997368125477654</v>
      </c>
      <c r="O6" s="33"/>
      <c r="P6" s="33"/>
      <c r="R6" s="32"/>
    </row>
    <row r="7" spans="1:18">
      <c r="A7" s="32" t="s">
        <v>53</v>
      </c>
      <c r="B7" s="37">
        <f t="shared" ref="B7:B12" si="0">B27</f>
        <v>241.26400000000001</v>
      </c>
      <c r="C7" s="33"/>
      <c r="D7" s="37">
        <f>IF(ISERROR(TER_horeca_gas_kWh/1000),0,TER_horeca_gas_kWh/1000)*0.902</f>
        <v>200.409066</v>
      </c>
      <c r="E7" s="33">
        <f>$C$27*'E Balans VL '!I9/100/3.6*1000000</f>
        <v>3.4548602930892054</v>
      </c>
      <c r="F7" s="33">
        <f>$C$27*('E Balans VL '!L9+'E Balans VL '!N9)/100/3.6*1000000</f>
        <v>30.55197959327775</v>
      </c>
      <c r="G7" s="34"/>
      <c r="H7" s="33"/>
      <c r="I7" s="33"/>
      <c r="J7" s="33">
        <f>$C$27*('E Balans VL '!D9+'E Balans VL '!E9)/100/3.6*1000000</f>
        <v>0</v>
      </c>
      <c r="K7" s="33"/>
      <c r="L7" s="33"/>
      <c r="M7" s="33"/>
      <c r="N7" s="33">
        <f>$C$27*'E Balans VL '!Y9/100/3.6*1000000</f>
        <v>6.9358080585416773E-2</v>
      </c>
      <c r="O7" s="33"/>
      <c r="P7" s="33"/>
      <c r="R7" s="32"/>
    </row>
    <row r="8" spans="1:18">
      <c r="A8" s="6" t="s">
        <v>52</v>
      </c>
      <c r="B8" s="37">
        <f t="shared" si="0"/>
        <v>3859.9679000000001</v>
      </c>
      <c r="C8" s="33"/>
      <c r="D8" s="37">
        <f>IF(ISERROR(TER_handel_gas_kWh/1000),0,TER_handel_gas_kWh/1000)*0.902</f>
        <v>244.15426199999999</v>
      </c>
      <c r="E8" s="33">
        <f>$C$28*'E Balans VL '!I13/100/3.6*1000000</f>
        <v>140.00055974308367</v>
      </c>
      <c r="F8" s="33">
        <f>$C$28*('E Balans VL '!L13+'E Balans VL '!N13)/100/3.6*1000000</f>
        <v>743.46890219991246</v>
      </c>
      <c r="G8" s="34"/>
      <c r="H8" s="33"/>
      <c r="I8" s="33"/>
      <c r="J8" s="33">
        <f>$C$28*('E Balans VL '!D13+'E Balans VL '!E13)/100/3.6*1000000</f>
        <v>0</v>
      </c>
      <c r="K8" s="33"/>
      <c r="L8" s="33"/>
      <c r="M8" s="33"/>
      <c r="N8" s="33">
        <f>$C$28*'E Balans VL '!Y13/100/3.6*1000000</f>
        <v>5.3469436805039763</v>
      </c>
      <c r="O8" s="33"/>
      <c r="P8" s="33"/>
      <c r="R8" s="32"/>
    </row>
    <row r="9" spans="1:18">
      <c r="A9" s="32" t="s">
        <v>51</v>
      </c>
      <c r="B9" s="37">
        <f t="shared" si="0"/>
        <v>105.328</v>
      </c>
      <c r="C9" s="33"/>
      <c r="D9" s="37">
        <f>IF(ISERROR(TER_gezond_gas_kWh/1000),0,TER_gezond_gas_kWh/1000)*0.902</f>
        <v>178.11613599999998</v>
      </c>
      <c r="E9" s="33">
        <f>$C$29*'E Balans VL '!I10/100/3.6*1000000</f>
        <v>6.5945727261264827E-3</v>
      </c>
      <c r="F9" s="33">
        <f>$C$29*('E Balans VL '!L10+'E Balans VL '!N10)/100/3.6*1000000</f>
        <v>15.646795093218792</v>
      </c>
      <c r="G9" s="34"/>
      <c r="H9" s="33"/>
      <c r="I9" s="33"/>
      <c r="J9" s="33">
        <f>$C$29*('E Balans VL '!D10+'E Balans VL '!E10)/100/3.6*1000000</f>
        <v>0</v>
      </c>
      <c r="K9" s="33"/>
      <c r="L9" s="33"/>
      <c r="M9" s="33"/>
      <c r="N9" s="33">
        <f>$C$29*'E Balans VL '!Y10/100/3.6*1000000</f>
        <v>1.6292236672832408</v>
      </c>
      <c r="O9" s="33"/>
      <c r="P9" s="33"/>
      <c r="R9" s="32"/>
    </row>
    <row r="10" spans="1:18">
      <c r="A10" s="32" t="s">
        <v>50</v>
      </c>
      <c r="B10" s="37">
        <f t="shared" si="0"/>
        <v>243.62299999999999</v>
      </c>
      <c r="C10" s="33"/>
      <c r="D10" s="37">
        <f>IF(ISERROR(TER_ander_gas_kWh/1000),0,TER_ander_gas_kWh/1000)*0.902</f>
        <v>123.24476999999999</v>
      </c>
      <c r="E10" s="33">
        <f>$C$30*'E Balans VL '!I14/100/3.6*1000000</f>
        <v>0.29038991038497047</v>
      </c>
      <c r="F10" s="33">
        <f>$C$30*('E Balans VL '!L14+'E Balans VL '!N14)/100/3.6*1000000</f>
        <v>63.742607427908439</v>
      </c>
      <c r="G10" s="34"/>
      <c r="H10" s="33"/>
      <c r="I10" s="33"/>
      <c r="J10" s="33">
        <f>$C$30*('E Balans VL '!D14+'E Balans VL '!E14)/100/3.6*1000000</f>
        <v>5.288100354208753E-3</v>
      </c>
      <c r="K10" s="33"/>
      <c r="L10" s="33"/>
      <c r="M10" s="33"/>
      <c r="N10" s="33">
        <f>$C$30*'E Balans VL '!Y14/100/3.6*1000000</f>
        <v>206.87869022910226</v>
      </c>
      <c r="O10" s="33"/>
      <c r="P10" s="33"/>
      <c r="R10" s="32"/>
    </row>
    <row r="11" spans="1:18">
      <c r="A11" s="32" t="s">
        <v>55</v>
      </c>
      <c r="B11" s="37">
        <f t="shared" si="0"/>
        <v>29.664999999999999</v>
      </c>
      <c r="C11" s="33"/>
      <c r="D11" s="37">
        <f>IF(ISERROR(TER_onderwijs_gas_kWh/1000),0,TER_onderwijs_gas_kWh/1000)*0.902</f>
        <v>0</v>
      </c>
      <c r="E11" s="33">
        <f>$C$31*'E Balans VL '!I11/100/3.6*1000000</f>
        <v>0.44759706997411186</v>
      </c>
      <c r="F11" s="33">
        <f>$C$31*('E Balans VL '!L11+'E Balans VL '!N11)/100/3.6*1000000</f>
        <v>5.1977819124737366</v>
      </c>
      <c r="G11" s="34"/>
      <c r="H11" s="33"/>
      <c r="I11" s="33"/>
      <c r="J11" s="33">
        <f>$C$31*('E Balans VL '!D11+'E Balans VL '!E11)/100/3.6*1000000</f>
        <v>0</v>
      </c>
      <c r="K11" s="33"/>
      <c r="L11" s="33"/>
      <c r="M11" s="33"/>
      <c r="N11" s="33">
        <f>$C$31*'E Balans VL '!Y11/100/3.6*1000000</f>
        <v>8.3479565219182955E-2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5337.2455</v>
      </c>
      <c r="C16" s="21">
        <f t="shared" ca="1" si="1"/>
        <v>0</v>
      </c>
      <c r="D16" s="21">
        <f t="shared" ca="1" si="1"/>
        <v>1733.0082704000004</v>
      </c>
      <c r="E16" s="21">
        <f t="shared" si="1"/>
        <v>144.2053754722489</v>
      </c>
      <c r="F16" s="21">
        <f t="shared" ca="1" si="1"/>
        <v>987.45096753288499</v>
      </c>
      <c r="G16" s="21">
        <f t="shared" si="1"/>
        <v>0</v>
      </c>
      <c r="H16" s="21">
        <f t="shared" si="1"/>
        <v>0</v>
      </c>
      <c r="I16" s="21">
        <f t="shared" si="1"/>
        <v>0</v>
      </c>
      <c r="J16" s="21">
        <f t="shared" si="1"/>
        <v>5.288100354208753E-3</v>
      </c>
      <c r="K16" s="21">
        <f t="shared" si="1"/>
        <v>0</v>
      </c>
      <c r="L16" s="21">
        <f t="shared" ca="1" si="1"/>
        <v>0</v>
      </c>
      <c r="M16" s="21">
        <f t="shared" si="1"/>
        <v>0</v>
      </c>
      <c r="N16" s="21">
        <f t="shared" ca="1" si="1"/>
        <v>214.82766890394888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0.18227007136025927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972.82011815222268</v>
      </c>
      <c r="C20" s="23">
        <f t="shared" ref="C20:P20" ca="1" si="2">C16*C18</f>
        <v>0</v>
      </c>
      <c r="D20" s="23">
        <f t="shared" ca="1" si="2"/>
        <v>350.06767062080007</v>
      </c>
      <c r="E20" s="23">
        <f t="shared" si="2"/>
        <v>32.734620232200506</v>
      </c>
      <c r="F20" s="23">
        <f t="shared" ca="1" si="2"/>
        <v>263.64940833128031</v>
      </c>
      <c r="G20" s="23">
        <f t="shared" si="2"/>
        <v>0</v>
      </c>
      <c r="H20" s="23">
        <f t="shared" si="2"/>
        <v>0</v>
      </c>
      <c r="I20" s="23">
        <f t="shared" si="2"/>
        <v>0</v>
      </c>
      <c r="J20" s="23">
        <f t="shared" si="2"/>
        <v>1.8719875253898986E-3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857.39760000000001</v>
      </c>
      <c r="C26" s="39">
        <f>IF(ISERROR(B26*3.6/1000000/'E Balans VL '!Z12*100),0,B26*3.6/1000000/'E Balans VL '!Z12*100)</f>
        <v>1.8124027036490679E-2</v>
      </c>
      <c r="D26" s="237" t="s">
        <v>754</v>
      </c>
      <c r="F26" s="6"/>
    </row>
    <row r="27" spans="1:18">
      <c r="A27" s="231" t="s">
        <v>53</v>
      </c>
      <c r="B27" s="33">
        <f>IF(ISERROR(TER_horeca_ele_kWh/1000),0,TER_horeca_ele_kWh/1000)</f>
        <v>241.26400000000001</v>
      </c>
      <c r="C27" s="39">
        <f>IF(ISERROR(B27*3.6/1000000/'E Balans VL '!Z9*100),0,B27*3.6/1000000/'E Balans VL '!Z9*100)</f>
        <v>1.9018751196316432E-2</v>
      </c>
      <c r="D27" s="237" t="s">
        <v>754</v>
      </c>
      <c r="F27" s="6"/>
    </row>
    <row r="28" spans="1:18">
      <c r="A28" s="171" t="s">
        <v>52</v>
      </c>
      <c r="B28" s="33">
        <f>IF(ISERROR(TER_handel_ele_kWh/1000),0,TER_handel_ele_kWh/1000)</f>
        <v>3859.9679000000001</v>
      </c>
      <c r="C28" s="39">
        <f>IF(ISERROR(B28*3.6/1000000/'E Balans VL '!Z13*100),0,B28*3.6/1000000/'E Balans VL '!Z13*100)</f>
        <v>0.112031864475945</v>
      </c>
      <c r="D28" s="237" t="s">
        <v>754</v>
      </c>
      <c r="F28" s="6"/>
    </row>
    <row r="29" spans="1:18">
      <c r="A29" s="231" t="s">
        <v>51</v>
      </c>
      <c r="B29" s="33">
        <f>IF(ISERROR(TER_gezond_ele_kWh/1000),0,TER_gezond_ele_kWh/1000)</f>
        <v>105.328</v>
      </c>
      <c r="C29" s="39">
        <f>IF(ISERROR(B29*3.6/1000000/'E Balans VL '!Z10*100),0,B29*3.6/1000000/'E Balans VL '!Z10*100)</f>
        <v>1.1092767931412945E-2</v>
      </c>
      <c r="D29" s="237" t="s">
        <v>754</v>
      </c>
      <c r="F29" s="6"/>
    </row>
    <row r="30" spans="1:18">
      <c r="A30" s="231" t="s">
        <v>50</v>
      </c>
      <c r="B30" s="33">
        <f>IF(ISERROR(TER_ander_ele_kWh/1000),0,TER_ander_ele_kWh/1000)</f>
        <v>243.62299999999999</v>
      </c>
      <c r="C30" s="39">
        <f>IF(ISERROR(B30*3.6/1000000/'E Balans VL '!Z14*100),0,B30*3.6/1000000/'E Balans VL '!Z14*100)</f>
        <v>1.7969685394652383E-2</v>
      </c>
      <c r="D30" s="237" t="s">
        <v>754</v>
      </c>
      <c r="F30" s="6"/>
    </row>
    <row r="31" spans="1:18">
      <c r="A31" s="231" t="s">
        <v>55</v>
      </c>
      <c r="B31" s="33">
        <f>IF(ISERROR(TER_onderwijs_ele_kWh/1000),0,TER_onderwijs_ele_kWh/1000)</f>
        <v>29.664999999999999</v>
      </c>
      <c r="C31" s="39">
        <f>IF(ISERROR(B31*3.6/1000000/'E Balans VL '!Z11*100),0,B31*3.6/1000000/'E Balans VL '!Z11*100)</f>
        <v>7.3672090904358415E-3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590.30185000000006</v>
      </c>
      <c r="C5" s="17">
        <f>IF(ISERROR('Eigen informatie GS &amp; warmtenet'!B59),0,'Eigen informatie GS &amp; warmtenet'!B59)</f>
        <v>0</v>
      </c>
      <c r="D5" s="30">
        <f>SUM(D6:D15)</f>
        <v>89.997951999999998</v>
      </c>
      <c r="E5" s="17">
        <f>SUM(E6:E15)</f>
        <v>77.159861592489605</v>
      </c>
      <c r="F5" s="17">
        <f>SUM(F6:F15)</f>
        <v>232.75509929191145</v>
      </c>
      <c r="G5" s="18"/>
      <c r="H5" s="17"/>
      <c r="I5" s="17"/>
      <c r="J5" s="17">
        <f>SUM(J6:J15)</f>
        <v>0</v>
      </c>
      <c r="K5" s="17"/>
      <c r="L5" s="17"/>
      <c r="M5" s="17"/>
      <c r="N5" s="17">
        <f>SUM(N6:N15)</f>
        <v>100.77217643079507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136.49585000000002</v>
      </c>
      <c r="C8" s="33"/>
      <c r="D8" s="37">
        <f>IF( ISERROR(IND_metaal_Gas_kWH/1000),0,IND_metaal_Gas_kWH/1000)*0.902</f>
        <v>0</v>
      </c>
      <c r="E8" s="33">
        <f>C30*'E Balans VL '!I18/100/3.6*1000000</f>
        <v>1.2549475118043731</v>
      </c>
      <c r="F8" s="33">
        <f>C30*'E Balans VL '!L18/100/3.6*1000000+C30*'E Balans VL '!N18/100/3.6*1000000</f>
        <v>12.798766323147804</v>
      </c>
      <c r="G8" s="34"/>
      <c r="H8" s="33"/>
      <c r="I8" s="33"/>
      <c r="J8" s="40">
        <f>C30*'E Balans VL '!D18/100/3.6*1000000+C30*'E Balans VL '!E18/100/3.6*1000000</f>
        <v>0</v>
      </c>
      <c r="K8" s="33"/>
      <c r="L8" s="33"/>
      <c r="M8" s="33"/>
      <c r="N8" s="33">
        <f>C30*'E Balans VL '!Y18/100/3.6*1000000</f>
        <v>1.9473388691410676</v>
      </c>
      <c r="O8" s="33"/>
      <c r="P8" s="33"/>
      <c r="R8" s="32"/>
    </row>
    <row r="9" spans="1:18">
      <c r="A9" s="6" t="s">
        <v>33</v>
      </c>
      <c r="B9" s="37">
        <f t="shared" si="0"/>
        <v>258.24900000000002</v>
      </c>
      <c r="C9" s="33"/>
      <c r="D9" s="37">
        <f>IF( ISERROR(IND_andere_gas_kWh/1000),0,IND_andere_gas_kWh/1000)*0.902</f>
        <v>89.997951999999998</v>
      </c>
      <c r="E9" s="33">
        <f>C31*'E Balans VL '!I19/100/3.6*1000000</f>
        <v>75.491210215038038</v>
      </c>
      <c r="F9" s="33">
        <f>C31*'E Balans VL '!L19/100/3.6*1000000+C31*'E Balans VL '!N19/100/3.6*1000000</f>
        <v>207.52261915314588</v>
      </c>
      <c r="G9" s="34"/>
      <c r="H9" s="33"/>
      <c r="I9" s="33"/>
      <c r="J9" s="40">
        <f>C31*'E Balans VL '!D19/100/3.6*1000000+C31*'E Balans VL '!E19/100/3.6*1000000</f>
        <v>0</v>
      </c>
      <c r="K9" s="33"/>
      <c r="L9" s="33"/>
      <c r="M9" s="33"/>
      <c r="N9" s="33">
        <f>C31*'E Balans VL '!Y19/100/3.6*1000000</f>
        <v>85.329474758024062</v>
      </c>
      <c r="O9" s="33"/>
      <c r="P9" s="33"/>
      <c r="R9" s="32"/>
    </row>
    <row r="10" spans="1:18">
      <c r="A10" s="6" t="s">
        <v>41</v>
      </c>
      <c r="B10" s="37">
        <f t="shared" si="0"/>
        <v>195.55699999999999</v>
      </c>
      <c r="C10" s="33"/>
      <c r="D10" s="37">
        <f>IF( ISERROR(IND_voed_gas_kWh/1000),0,IND_voed_gas_kWh/1000)*0.902</f>
        <v>0</v>
      </c>
      <c r="E10" s="33">
        <f>C32*'E Balans VL '!I20/100/3.6*1000000</f>
        <v>0.4137038656471973</v>
      </c>
      <c r="F10" s="33">
        <f>C32*'E Balans VL '!L20/100/3.6*1000000+C32*'E Balans VL '!N20/100/3.6*1000000</f>
        <v>12.433713815617754</v>
      </c>
      <c r="G10" s="34"/>
      <c r="H10" s="33"/>
      <c r="I10" s="33"/>
      <c r="J10" s="40">
        <f>C32*'E Balans VL '!D20/100/3.6*1000000+C32*'E Balans VL '!E20/100/3.6*1000000</f>
        <v>0</v>
      </c>
      <c r="K10" s="33"/>
      <c r="L10" s="33"/>
      <c r="M10" s="33"/>
      <c r="N10" s="33">
        <f>C32*'E Balans VL '!Y20/100/3.6*1000000</f>
        <v>13.495362803629943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590.30185000000006</v>
      </c>
      <c r="C18" s="21">
        <f>C5+C16</f>
        <v>0</v>
      </c>
      <c r="D18" s="21">
        <f>MAX((D5+D16),0)</f>
        <v>89.997951999999998</v>
      </c>
      <c r="E18" s="21">
        <f>MAX((E5+E16),0)</f>
        <v>77.159861592489605</v>
      </c>
      <c r="F18" s="21">
        <f>MAX((F5+F16),0)</f>
        <v>232.75509929191145</v>
      </c>
      <c r="G18" s="21"/>
      <c r="H18" s="21"/>
      <c r="I18" s="21"/>
      <c r="J18" s="21">
        <f>MAX((J5+J16),0)</f>
        <v>0</v>
      </c>
      <c r="K18" s="21"/>
      <c r="L18" s="21">
        <f>MAX((L5+L16),0)</f>
        <v>0</v>
      </c>
      <c r="M18" s="21"/>
      <c r="N18" s="21">
        <f>MAX((N5+N16),0)</f>
        <v>100.77217643079507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0.18227007136025927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107.59436032359308</v>
      </c>
      <c r="C22" s="23">
        <f ca="1">C18*C20</f>
        <v>0</v>
      </c>
      <c r="D22" s="23">
        <f>D18*D20</f>
        <v>18.179586304000001</v>
      </c>
      <c r="E22" s="23">
        <f>E18*E20</f>
        <v>17.515288581495142</v>
      </c>
      <c r="F22" s="23">
        <f>F18*F20</f>
        <v>62.145611510940363</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136.49585000000002</v>
      </c>
      <c r="C30" s="39">
        <f>IF(ISERROR(B30*3.6/1000000/'E Balans VL '!Z18*100),0,B30*3.6/1000000/'E Balans VL '!Z18*100)</f>
        <v>7.7355698177509801E-3</v>
      </c>
      <c r="D30" s="237" t="s">
        <v>754</v>
      </c>
    </row>
    <row r="31" spans="1:18">
      <c r="A31" s="6" t="s">
        <v>33</v>
      </c>
      <c r="B31" s="37">
        <f>IF( ISERROR(IND_ander_ele_kWh/1000),0,IND_ander_ele_kWh/1000)</f>
        <v>258.24900000000002</v>
      </c>
      <c r="C31" s="39">
        <f>IF(ISERROR(B31*3.6/1000000/'E Balans VL '!Z19*100),0,B31*3.6/1000000/'E Balans VL '!Z19*100)</f>
        <v>1.1713099309879793E-2</v>
      </c>
      <c r="D31" s="237" t="s">
        <v>754</v>
      </c>
    </row>
    <row r="32" spans="1:18">
      <c r="A32" s="171" t="s">
        <v>41</v>
      </c>
      <c r="B32" s="37">
        <f>IF( ISERROR(IND_voed_ele_kWh/1000),0,IND_voed_ele_kWh/1000)</f>
        <v>195.55699999999999</v>
      </c>
      <c r="C32" s="39">
        <f>IF(ISERROR(B32*3.6/1000000/'E Balans VL '!Z20*100),0,B32*3.6/1000000/'E Balans VL '!Z20*100)</f>
        <v>6.0494657638220668E-3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2355.9830000000002</v>
      </c>
      <c r="C5" s="17">
        <f>'Eigen informatie GS &amp; warmtenet'!B60</f>
        <v>0</v>
      </c>
      <c r="D5" s="30">
        <f>IF(ISERROR(SUM(LB_lb_gas_kWh,LB_rest_gas_kWh,onbekend_gas_kWh)/1000),0,SUM(LB_lb_gas_kWh,LB_rest_gas_kWh,onbekend_gas_kWh)/1000)*0.902</f>
        <v>91.456485999999998</v>
      </c>
      <c r="E5" s="17">
        <f>B17*'E Balans VL '!I25/3.6*1000000/100</f>
        <v>69.249536372655413</v>
      </c>
      <c r="F5" s="17">
        <f>B17*('E Balans VL '!L25/3.6*1000000+'E Balans VL '!N25/3.6*1000000)/100</f>
        <v>9814.8978673609181</v>
      </c>
      <c r="G5" s="18"/>
      <c r="H5" s="17"/>
      <c r="I5" s="17"/>
      <c r="J5" s="17">
        <f>('E Balans VL '!D25+'E Balans VL '!E25)/3.6*1000000*landbouw!B17/100</f>
        <v>341.33134138591618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2355.9830000000002</v>
      </c>
      <c r="C8" s="21">
        <f>C5+C6</f>
        <v>0</v>
      </c>
      <c r="D8" s="21">
        <f>MAX((D5+D6),0)</f>
        <v>91.456485999999998</v>
      </c>
      <c r="E8" s="21">
        <f>MAX((E5+E6),0)</f>
        <v>69.249536372655413</v>
      </c>
      <c r="F8" s="21">
        <f>MAX((F5+F6),0)</f>
        <v>9814.8978673609181</v>
      </c>
      <c r="G8" s="21"/>
      <c r="H8" s="21"/>
      <c r="I8" s="21"/>
      <c r="J8" s="21">
        <f>MAX((J5+J6),0)</f>
        <v>341.33134138591618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0.18227007136025927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429.42518953355773</v>
      </c>
      <c r="C12" s="23">
        <f ca="1">C8*C10</f>
        <v>0</v>
      </c>
      <c r="D12" s="23">
        <f>D8*D10</f>
        <v>18.474210171999999</v>
      </c>
      <c r="E12" s="23">
        <f>E8*E10</f>
        <v>15.71964475659278</v>
      </c>
      <c r="F12" s="23">
        <f>F8*F10</f>
        <v>2620.5777305853653</v>
      </c>
      <c r="G12" s="23"/>
      <c r="H12" s="23"/>
      <c r="I12" s="23"/>
      <c r="J12" s="23">
        <f>J8*J10</f>
        <v>120.83129485061431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0.33432137937123951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226.7523961540179</v>
      </c>
      <c r="C26" s="247">
        <f>B26*'GWP N2O_CH4'!B5</f>
        <v>4761.8003192343758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85.540898039358055</v>
      </c>
      <c r="C27" s="247">
        <f>B27*'GWP N2O_CH4'!B5</f>
        <v>1796.3588588265191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3.090016199716874</v>
      </c>
      <c r="C28" s="247">
        <f>B28*'GWP N2O_CH4'!B4</f>
        <v>957.90502191223095</v>
      </c>
      <c r="D28" s="50"/>
    </row>
    <row r="29" spans="1:4">
      <c r="A29" s="41" t="s">
        <v>277</v>
      </c>
      <c r="B29" s="247">
        <f>B34*'ha_N2O bodem landbouw'!B4</f>
        <v>11.1190346931902</v>
      </c>
      <c r="C29" s="247">
        <f>B29*'GWP N2O_CH4'!B4</f>
        <v>3446.9007548889617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2.5373253990877993E-3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6.516726328254287E-5</v>
      </c>
      <c r="C5" s="463" t="s">
        <v>211</v>
      </c>
      <c r="D5" s="448">
        <f>SUM(D6:D11)</f>
        <v>2.4332638783900834E-4</v>
      </c>
      <c r="E5" s="448">
        <f>SUM(E6:E11)</f>
        <v>3.2137798362592585E-4</v>
      </c>
      <c r="F5" s="461" t="s">
        <v>211</v>
      </c>
      <c r="G5" s="448">
        <f>SUM(G6:G11)</f>
        <v>0.13434256126769301</v>
      </c>
      <c r="H5" s="448">
        <f>SUM(H6:H11)</f>
        <v>2.7336034582947918E-2</v>
      </c>
      <c r="I5" s="463" t="s">
        <v>211</v>
      </c>
      <c r="J5" s="463" t="s">
        <v>211</v>
      </c>
      <c r="K5" s="463" t="s">
        <v>211</v>
      </c>
      <c r="L5" s="463" t="s">
        <v>211</v>
      </c>
      <c r="M5" s="448">
        <f>SUM(M6:M11)</f>
        <v>8.6603840365743895E-3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4.4657207656726588E-5</v>
      </c>
      <c r="C6" s="449"/>
      <c r="D6" s="962">
        <f>vkm_2011_GW_PW*SUMIFS(TableVerdeelsleutelVkm[CNG],TableVerdeelsleutelVkm[Voertuigtype],"Lichte voertuigen")*SUMIFS(TableECFTransport[EnergieConsumptieFactor (PJ per km)],TableECFTransport[Index],CONCATENATE($A6,"_CNG_CNG"))</f>
        <v>1.339459920643973E-4</v>
      </c>
      <c r="E6" s="962">
        <f>vkm_2011_GW_PW*SUMIFS(TableVerdeelsleutelVkm[LPG],TableVerdeelsleutelVkm[Voertuigtype],"Lichte voertuigen")*SUMIFS(TableECFTransport[EnergieConsumptieFactor (PJ per km)],TableECFTransport[Index],CONCATENATE($A6,"_LPG_LPG"))</f>
        <v>1.8298946555351676E-4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4.7312687424660708E-2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1.5232150677648625E-2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3.2163094611720585E-3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5.0535086683765523E-2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1.5399373624244756E-5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2.9531026640131708E-3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2.0510055625816285E-5</v>
      </c>
      <c r="C8" s="449"/>
      <c r="D8" s="451">
        <f>vkm_2011_NGW_PW*SUMIFS(TableVerdeelsleutelVkm[CNG],TableVerdeelsleutelVkm[Voertuigtype],"Lichte voertuigen")*SUMIFS(TableECFTransport[EnergieConsumptieFactor (PJ per km)],TableECFTransport[Index],CONCATENATE($A8,"_CNG_CNG"))</f>
        <v>1.0938039577461103E-4</v>
      </c>
      <c r="E8" s="451">
        <f>vkm_2011_NGW_PW*SUMIFS(TableVerdeelsleutelVkm[LPG],TableVerdeelsleutelVkm[Voertuigtype],"Lichte voertuigen")*SUMIFS(TableECFTransport[EnergieConsumptieFactor (PJ per km)],TableECFTransport[Index],CONCATENATE($A8,"_LPG_LPG"))</f>
        <v>1.3838851807240909E-4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3.3344037982980038E-2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1.2087580665104567E-2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2.3068542605338997E-3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3.1507491762867105E-3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9.0386657048322828E-7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1.8411765085526034E-4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18.10201757848413</v>
      </c>
      <c r="C14" s="21"/>
      <c r="D14" s="21">
        <f t="shared" ref="D14:M14" si="0">((D5)*10^9/3600)+D12</f>
        <v>67.590663288613428</v>
      </c>
      <c r="E14" s="21">
        <f t="shared" si="0"/>
        <v>89.271662118312733</v>
      </c>
      <c r="F14" s="21"/>
      <c r="G14" s="21">
        <f t="shared" si="0"/>
        <v>37317.378129914723</v>
      </c>
      <c r="H14" s="21">
        <f t="shared" si="0"/>
        <v>7593.3429397077552</v>
      </c>
      <c r="I14" s="21"/>
      <c r="J14" s="21"/>
      <c r="K14" s="21"/>
      <c r="L14" s="21"/>
      <c r="M14" s="21">
        <f t="shared" si="0"/>
        <v>2405.6622323817751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0.18227007136025927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3.2994560357949703</v>
      </c>
      <c r="C18" s="23"/>
      <c r="D18" s="23">
        <f t="shared" ref="D18:M18" si="1">D14*D16</f>
        <v>13.653313984299913</v>
      </c>
      <c r="E18" s="23">
        <f t="shared" si="1"/>
        <v>20.264667300856992</v>
      </c>
      <c r="F18" s="23"/>
      <c r="G18" s="23">
        <f t="shared" si="1"/>
        <v>9963.7399606872314</v>
      </c>
      <c r="H18" s="23">
        <f t="shared" si="1"/>
        <v>1890.742391987231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1.8346056777961781E-3</v>
      </c>
      <c r="H50" s="321">
        <f t="shared" si="2"/>
        <v>0</v>
      </c>
      <c r="I50" s="321">
        <f t="shared" si="2"/>
        <v>0</v>
      </c>
      <c r="J50" s="321">
        <f t="shared" si="2"/>
        <v>0</v>
      </c>
      <c r="K50" s="321">
        <f t="shared" si="2"/>
        <v>0</v>
      </c>
      <c r="L50" s="321">
        <f t="shared" si="2"/>
        <v>0</v>
      </c>
      <c r="M50" s="321">
        <f t="shared" si="2"/>
        <v>1.0419750349192272E-4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1.8346056777961781E-3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1.0419750349192272E-4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509.61268827671614</v>
      </c>
      <c r="H54" s="21">
        <f t="shared" si="3"/>
        <v>0</v>
      </c>
      <c r="I54" s="21">
        <f t="shared" si="3"/>
        <v>0</v>
      </c>
      <c r="J54" s="21">
        <f t="shared" si="3"/>
        <v>0</v>
      </c>
      <c r="K54" s="21">
        <f t="shared" si="3"/>
        <v>0</v>
      </c>
      <c r="L54" s="21">
        <f t="shared" si="3"/>
        <v>0</v>
      </c>
      <c r="M54" s="21">
        <f t="shared" si="3"/>
        <v>28.943750969978534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0.18227007136025927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136.06658776988323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3179.6682759568057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3179.6682759568057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5790.1925000000001</v>
      </c>
      <c r="D10" s="718">
        <f ca="1">tertiair!C16</f>
        <v>0</v>
      </c>
      <c r="E10" s="718">
        <f ca="1">tertiair!D16</f>
        <v>1733.0082704000004</v>
      </c>
      <c r="F10" s="718">
        <f>tertiair!E16</f>
        <v>144.2053754722489</v>
      </c>
      <c r="G10" s="718">
        <f ca="1">tertiair!F16</f>
        <v>987.45096753288499</v>
      </c>
      <c r="H10" s="718">
        <f>tertiair!G16</f>
        <v>0</v>
      </c>
      <c r="I10" s="718">
        <f>tertiair!H16</f>
        <v>0</v>
      </c>
      <c r="J10" s="718">
        <f>tertiair!I16</f>
        <v>0</v>
      </c>
      <c r="K10" s="718">
        <f>tertiair!J16</f>
        <v>5.288100354208753E-3</v>
      </c>
      <c r="L10" s="718">
        <f>tertiair!K16</f>
        <v>0</v>
      </c>
      <c r="M10" s="718">
        <f ca="1">tertiair!L16</f>
        <v>0</v>
      </c>
      <c r="N10" s="718">
        <f>tertiair!M16</f>
        <v>0</v>
      </c>
      <c r="O10" s="718">
        <f ca="1">tertiair!N16</f>
        <v>214.82766890394888</v>
      </c>
      <c r="P10" s="718">
        <f>tertiair!O16</f>
        <v>1.5633333333333335</v>
      </c>
      <c r="Q10" s="719">
        <f>tertiair!P16</f>
        <v>0</v>
      </c>
      <c r="R10" s="721">
        <f ca="1">SUM(C10:Q10)</f>
        <v>8871.2534037427704</v>
      </c>
      <c r="S10" s="67"/>
    </row>
    <row r="11" spans="1:19" s="474" customFormat="1">
      <c r="A11" s="870" t="s">
        <v>225</v>
      </c>
      <c r="B11" s="875"/>
      <c r="C11" s="718">
        <f>huishoudens!B8</f>
        <v>9389.1847359630865</v>
      </c>
      <c r="D11" s="718">
        <f>huishoudens!C8</f>
        <v>0</v>
      </c>
      <c r="E11" s="718">
        <f>huishoudens!D8</f>
        <v>7931.6775582000009</v>
      </c>
      <c r="F11" s="718">
        <f>huishoudens!E8</f>
        <v>2736.9070021647667</v>
      </c>
      <c r="G11" s="718">
        <f>huishoudens!F8</f>
        <v>30737.162729445517</v>
      </c>
      <c r="H11" s="718">
        <f>huishoudens!G8</f>
        <v>0</v>
      </c>
      <c r="I11" s="718">
        <f>huishoudens!H8</f>
        <v>0</v>
      </c>
      <c r="J11" s="718">
        <f>huishoudens!I8</f>
        <v>0</v>
      </c>
      <c r="K11" s="718">
        <f>huishoudens!J8</f>
        <v>1258.7936727412616</v>
      </c>
      <c r="L11" s="718">
        <f>huishoudens!K8</f>
        <v>0</v>
      </c>
      <c r="M11" s="718">
        <f>huishoudens!L8</f>
        <v>0</v>
      </c>
      <c r="N11" s="718">
        <f>huishoudens!M8</f>
        <v>0</v>
      </c>
      <c r="O11" s="718">
        <f>huishoudens!N8</f>
        <v>4017.8839016411994</v>
      </c>
      <c r="P11" s="718">
        <f>huishoudens!O8</f>
        <v>87.546666666666681</v>
      </c>
      <c r="Q11" s="719">
        <f>huishoudens!P8</f>
        <v>629.20000000000005</v>
      </c>
      <c r="R11" s="721">
        <f>SUM(C11:Q11)</f>
        <v>56788.356266822506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590.30185000000006</v>
      </c>
      <c r="D13" s="718">
        <f>industrie!C18</f>
        <v>0</v>
      </c>
      <c r="E13" s="718">
        <f>industrie!D18</f>
        <v>89.997951999999998</v>
      </c>
      <c r="F13" s="718">
        <f>industrie!E18</f>
        <v>77.159861592489605</v>
      </c>
      <c r="G13" s="718">
        <f>industrie!F18</f>
        <v>232.75509929191145</v>
      </c>
      <c r="H13" s="718">
        <f>industrie!G18</f>
        <v>0</v>
      </c>
      <c r="I13" s="718">
        <f>industrie!H18</f>
        <v>0</v>
      </c>
      <c r="J13" s="718">
        <f>industrie!I18</f>
        <v>0</v>
      </c>
      <c r="K13" s="718">
        <f>industrie!J18</f>
        <v>0</v>
      </c>
      <c r="L13" s="718">
        <f>industrie!K18</f>
        <v>0</v>
      </c>
      <c r="M13" s="718">
        <f>industrie!L18</f>
        <v>0</v>
      </c>
      <c r="N13" s="718">
        <f>industrie!M18</f>
        <v>0</v>
      </c>
      <c r="O13" s="718">
        <f>industrie!N18</f>
        <v>100.77217643079507</v>
      </c>
      <c r="P13" s="718">
        <f>industrie!O18</f>
        <v>0</v>
      </c>
      <c r="Q13" s="719">
        <f>industrie!P18</f>
        <v>0</v>
      </c>
      <c r="R13" s="721">
        <f>SUM(C13:Q13)</f>
        <v>1090.9869393151962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15769.679085963086</v>
      </c>
      <c r="D15" s="723">
        <f t="shared" ref="D15:Q15" ca="1" si="0">SUM(D9:D14)</f>
        <v>0</v>
      </c>
      <c r="E15" s="723">
        <f t="shared" ca="1" si="0"/>
        <v>9754.6837806000003</v>
      </c>
      <c r="F15" s="723">
        <f t="shared" si="0"/>
        <v>2958.272239229505</v>
      </c>
      <c r="G15" s="723">
        <f t="shared" ca="1" si="0"/>
        <v>31957.368796270315</v>
      </c>
      <c r="H15" s="723">
        <f t="shared" si="0"/>
        <v>0</v>
      </c>
      <c r="I15" s="723">
        <f t="shared" si="0"/>
        <v>0</v>
      </c>
      <c r="J15" s="723">
        <f t="shared" si="0"/>
        <v>0</v>
      </c>
      <c r="K15" s="723">
        <f t="shared" si="0"/>
        <v>1258.7989608416158</v>
      </c>
      <c r="L15" s="723">
        <f t="shared" si="0"/>
        <v>0</v>
      </c>
      <c r="M15" s="723">
        <f t="shared" ca="1" si="0"/>
        <v>0</v>
      </c>
      <c r="N15" s="723">
        <f t="shared" si="0"/>
        <v>0</v>
      </c>
      <c r="O15" s="723">
        <f t="shared" ca="1" si="0"/>
        <v>4333.4837469759432</v>
      </c>
      <c r="P15" s="723">
        <f t="shared" si="0"/>
        <v>89.110000000000014</v>
      </c>
      <c r="Q15" s="724">
        <f t="shared" si="0"/>
        <v>629.20000000000005</v>
      </c>
      <c r="R15" s="725">
        <f ca="1">SUM(R9:R14)</f>
        <v>66750.596609880464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509.61268827671614</v>
      </c>
      <c r="I18" s="718">
        <f>transport!H54</f>
        <v>0</v>
      </c>
      <c r="J18" s="718">
        <f>transport!I54</f>
        <v>0</v>
      </c>
      <c r="K18" s="718">
        <f>transport!J54</f>
        <v>0</v>
      </c>
      <c r="L18" s="718">
        <f>transport!K54</f>
        <v>0</v>
      </c>
      <c r="M18" s="718">
        <f>transport!L54</f>
        <v>0</v>
      </c>
      <c r="N18" s="718">
        <f>transport!M54</f>
        <v>28.943750969978534</v>
      </c>
      <c r="O18" s="718">
        <f>transport!N54</f>
        <v>0</v>
      </c>
      <c r="P18" s="718">
        <f>transport!O54</f>
        <v>0</v>
      </c>
      <c r="Q18" s="719">
        <f>transport!P54</f>
        <v>0</v>
      </c>
      <c r="R18" s="721">
        <f>SUM(C18:Q18)</f>
        <v>538.55643924669471</v>
      </c>
      <c r="S18" s="67"/>
    </row>
    <row r="19" spans="1:19" s="474" customFormat="1" ht="15" thickBot="1">
      <c r="A19" s="870" t="s">
        <v>307</v>
      </c>
      <c r="B19" s="875"/>
      <c r="C19" s="727">
        <f>transport!B14</f>
        <v>18.10201757848413</v>
      </c>
      <c r="D19" s="727">
        <f>transport!C14</f>
        <v>0</v>
      </c>
      <c r="E19" s="727">
        <f>transport!D14</f>
        <v>67.590663288613428</v>
      </c>
      <c r="F19" s="727">
        <f>transport!E14</f>
        <v>89.271662118312733</v>
      </c>
      <c r="G19" s="727">
        <f>transport!F14</f>
        <v>0</v>
      </c>
      <c r="H19" s="727">
        <f>transport!G14</f>
        <v>37317.378129914723</v>
      </c>
      <c r="I19" s="727">
        <f>transport!H14</f>
        <v>7593.3429397077552</v>
      </c>
      <c r="J19" s="727">
        <f>transport!I14</f>
        <v>0</v>
      </c>
      <c r="K19" s="727">
        <f>transport!J14</f>
        <v>0</v>
      </c>
      <c r="L19" s="727">
        <f>transport!K14</f>
        <v>0</v>
      </c>
      <c r="M19" s="727">
        <f>transport!L14</f>
        <v>0</v>
      </c>
      <c r="N19" s="727">
        <f>transport!M14</f>
        <v>2405.6622323817751</v>
      </c>
      <c r="O19" s="727">
        <f>transport!N14</f>
        <v>0</v>
      </c>
      <c r="P19" s="727">
        <f>transport!O14</f>
        <v>0</v>
      </c>
      <c r="Q19" s="728">
        <f>transport!P14</f>
        <v>0</v>
      </c>
      <c r="R19" s="729">
        <f>SUM(C19:Q19)</f>
        <v>47491.347644989663</v>
      </c>
      <c r="S19" s="67"/>
    </row>
    <row r="20" spans="1:19" s="474" customFormat="1" ht="15.75" thickBot="1">
      <c r="A20" s="730" t="s">
        <v>230</v>
      </c>
      <c r="B20" s="878"/>
      <c r="C20" s="873">
        <f>SUM(C17:C19)</f>
        <v>18.10201757848413</v>
      </c>
      <c r="D20" s="731">
        <f t="shared" ref="D20:R20" si="1">SUM(D17:D19)</f>
        <v>0</v>
      </c>
      <c r="E20" s="731">
        <f t="shared" si="1"/>
        <v>67.590663288613428</v>
      </c>
      <c r="F20" s="731">
        <f t="shared" si="1"/>
        <v>89.271662118312733</v>
      </c>
      <c r="G20" s="731">
        <f t="shared" si="1"/>
        <v>0</v>
      </c>
      <c r="H20" s="731">
        <f t="shared" si="1"/>
        <v>37826.990818191436</v>
      </c>
      <c r="I20" s="731">
        <f t="shared" si="1"/>
        <v>7593.3429397077552</v>
      </c>
      <c r="J20" s="731">
        <f t="shared" si="1"/>
        <v>0</v>
      </c>
      <c r="K20" s="731">
        <f t="shared" si="1"/>
        <v>0</v>
      </c>
      <c r="L20" s="731">
        <f t="shared" si="1"/>
        <v>0</v>
      </c>
      <c r="M20" s="731">
        <f t="shared" si="1"/>
        <v>0</v>
      </c>
      <c r="N20" s="731">
        <f t="shared" si="1"/>
        <v>2434.6059833517538</v>
      </c>
      <c r="O20" s="731">
        <f t="shared" si="1"/>
        <v>0</v>
      </c>
      <c r="P20" s="731">
        <f t="shared" si="1"/>
        <v>0</v>
      </c>
      <c r="Q20" s="732">
        <f t="shared" si="1"/>
        <v>0</v>
      </c>
      <c r="R20" s="733">
        <f t="shared" si="1"/>
        <v>48029.904084236354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2355.9830000000002</v>
      </c>
      <c r="D22" s="727">
        <f>+landbouw!C8</f>
        <v>0</v>
      </c>
      <c r="E22" s="727">
        <f>+landbouw!D8</f>
        <v>91.456485999999998</v>
      </c>
      <c r="F22" s="727">
        <f>+landbouw!E8</f>
        <v>69.249536372655413</v>
      </c>
      <c r="G22" s="727">
        <f>+landbouw!F8</f>
        <v>9814.8978673609181</v>
      </c>
      <c r="H22" s="727">
        <f>+landbouw!G8</f>
        <v>0</v>
      </c>
      <c r="I22" s="727">
        <f>+landbouw!H8</f>
        <v>0</v>
      </c>
      <c r="J22" s="727">
        <f>+landbouw!I8</f>
        <v>0</v>
      </c>
      <c r="K22" s="727">
        <f>+landbouw!J8</f>
        <v>341.33134138591618</v>
      </c>
      <c r="L22" s="727">
        <f>+landbouw!K8</f>
        <v>0</v>
      </c>
      <c r="M22" s="727">
        <f>+landbouw!L8</f>
        <v>0</v>
      </c>
      <c r="N22" s="727">
        <f>+landbouw!M8</f>
        <v>0</v>
      </c>
      <c r="O22" s="727">
        <f>+landbouw!N8</f>
        <v>0</v>
      </c>
      <c r="P22" s="727">
        <f>+landbouw!O8</f>
        <v>0</v>
      </c>
      <c r="Q22" s="728">
        <f>+landbouw!P8</f>
        <v>0</v>
      </c>
      <c r="R22" s="729">
        <f>SUM(C22:Q22)</f>
        <v>12672.918231119489</v>
      </c>
      <c r="S22" s="67"/>
    </row>
    <row r="23" spans="1:19" s="474" customFormat="1" ht="17.25" thickTop="1" thickBot="1">
      <c r="A23" s="734" t="s">
        <v>116</v>
      </c>
      <c r="B23" s="864"/>
      <c r="C23" s="735">
        <f ca="1">C20+C15+C22</f>
        <v>18143.764103541569</v>
      </c>
      <c r="D23" s="735">
        <f t="shared" ref="D23:Q23" ca="1" si="2">D20+D15+D22</f>
        <v>0</v>
      </c>
      <c r="E23" s="735">
        <f t="shared" ca="1" si="2"/>
        <v>9913.7309298886121</v>
      </c>
      <c r="F23" s="735">
        <f t="shared" si="2"/>
        <v>3116.7934377204729</v>
      </c>
      <c r="G23" s="735">
        <f t="shared" ca="1" si="2"/>
        <v>41772.266663631235</v>
      </c>
      <c r="H23" s="735">
        <f t="shared" si="2"/>
        <v>37826.990818191436</v>
      </c>
      <c r="I23" s="735">
        <f t="shared" si="2"/>
        <v>7593.3429397077552</v>
      </c>
      <c r="J23" s="735">
        <f t="shared" si="2"/>
        <v>0</v>
      </c>
      <c r="K23" s="735">
        <f t="shared" si="2"/>
        <v>1600.130302227532</v>
      </c>
      <c r="L23" s="735">
        <f t="shared" si="2"/>
        <v>0</v>
      </c>
      <c r="M23" s="735">
        <f t="shared" ca="1" si="2"/>
        <v>0</v>
      </c>
      <c r="N23" s="735">
        <f t="shared" si="2"/>
        <v>2434.6059833517538</v>
      </c>
      <c r="O23" s="735">
        <f t="shared" ca="1" si="2"/>
        <v>4333.4837469759432</v>
      </c>
      <c r="P23" s="735">
        <f t="shared" si="2"/>
        <v>89.110000000000014</v>
      </c>
      <c r="Q23" s="736">
        <f t="shared" si="2"/>
        <v>629.20000000000005</v>
      </c>
      <c r="R23" s="737">
        <f ca="1">R20+R15+R22</f>
        <v>127453.4189252363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1055.3788001646381</v>
      </c>
      <c r="D36" s="718">
        <f ca="1">tertiair!C20</f>
        <v>0</v>
      </c>
      <c r="E36" s="718">
        <f ca="1">tertiair!D20</f>
        <v>350.06767062080007</v>
      </c>
      <c r="F36" s="718">
        <f>tertiair!E20</f>
        <v>32.734620232200506</v>
      </c>
      <c r="G36" s="718">
        <f ca="1">tertiair!F20</f>
        <v>263.64940833128031</v>
      </c>
      <c r="H36" s="718">
        <f>tertiair!G20</f>
        <v>0</v>
      </c>
      <c r="I36" s="718">
        <f>tertiair!H20</f>
        <v>0</v>
      </c>
      <c r="J36" s="718">
        <f>tertiair!I20</f>
        <v>0</v>
      </c>
      <c r="K36" s="718">
        <f>tertiair!J20</f>
        <v>1.8719875253898986E-3</v>
      </c>
      <c r="L36" s="718">
        <f>tertiair!K20</f>
        <v>0</v>
      </c>
      <c r="M36" s="718">
        <f ca="1">tertiair!L20</f>
        <v>0</v>
      </c>
      <c r="N36" s="718">
        <f>tertiair!M20</f>
        <v>0</v>
      </c>
      <c r="O36" s="718">
        <f ca="1">tertiair!N20</f>
        <v>0</v>
      </c>
      <c r="P36" s="718">
        <f>tertiair!O20</f>
        <v>0</v>
      </c>
      <c r="Q36" s="828">
        <f>tertiair!P20</f>
        <v>0</v>
      </c>
      <c r="R36" s="917">
        <f ca="1">SUM(C36:Q36)</f>
        <v>1701.8323713364443</v>
      </c>
    </row>
    <row r="37" spans="1:18">
      <c r="A37" s="885" t="s">
        <v>225</v>
      </c>
      <c r="B37" s="892"/>
      <c r="C37" s="718">
        <f ca="1">huishoudens!B12</f>
        <v>1711.367371838649</v>
      </c>
      <c r="D37" s="718">
        <f ca="1">huishoudens!C12</f>
        <v>0</v>
      </c>
      <c r="E37" s="718">
        <f>huishoudens!D12</f>
        <v>1602.1988667564003</v>
      </c>
      <c r="F37" s="718">
        <f>huishoudens!E12</f>
        <v>621.27788949140211</v>
      </c>
      <c r="G37" s="718">
        <f>huishoudens!F12</f>
        <v>8206.8224487619536</v>
      </c>
      <c r="H37" s="718">
        <f>huishoudens!G12</f>
        <v>0</v>
      </c>
      <c r="I37" s="718">
        <f>huishoudens!H12</f>
        <v>0</v>
      </c>
      <c r="J37" s="718">
        <f>huishoudens!I12</f>
        <v>0</v>
      </c>
      <c r="K37" s="718">
        <f>huishoudens!J12</f>
        <v>445.61296015040659</v>
      </c>
      <c r="L37" s="718">
        <f>huishoudens!K12</f>
        <v>0</v>
      </c>
      <c r="M37" s="718">
        <f>huishoudens!L12</f>
        <v>0</v>
      </c>
      <c r="N37" s="718">
        <f>huishoudens!M12</f>
        <v>0</v>
      </c>
      <c r="O37" s="718">
        <f>huishoudens!N12</f>
        <v>0</v>
      </c>
      <c r="P37" s="718">
        <f>huishoudens!O12</f>
        <v>0</v>
      </c>
      <c r="Q37" s="828">
        <f>huishoudens!P12</f>
        <v>0</v>
      </c>
      <c r="R37" s="917">
        <f ca="1">SUM(C37:Q37)</f>
        <v>12587.279536998813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107.59436032359308</v>
      </c>
      <c r="D39" s="718">
        <f ca="1">industrie!C22</f>
        <v>0</v>
      </c>
      <c r="E39" s="718">
        <f>industrie!D22</f>
        <v>18.179586304000001</v>
      </c>
      <c r="F39" s="718">
        <f>industrie!E22</f>
        <v>17.515288581495142</v>
      </c>
      <c r="G39" s="718">
        <f>industrie!F22</f>
        <v>62.145611510940363</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205.43484672002859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2874.3405323268803</v>
      </c>
      <c r="D41" s="763">
        <f t="shared" ref="D41:R41" ca="1" si="4">SUM(D35:D40)</f>
        <v>0</v>
      </c>
      <c r="E41" s="763">
        <f t="shared" ca="1" si="4"/>
        <v>1970.4461236812003</v>
      </c>
      <c r="F41" s="763">
        <f t="shared" si="4"/>
        <v>671.5277983050978</v>
      </c>
      <c r="G41" s="763">
        <f t="shared" ca="1" si="4"/>
        <v>8532.6174686041741</v>
      </c>
      <c r="H41" s="763">
        <f t="shared" si="4"/>
        <v>0</v>
      </c>
      <c r="I41" s="763">
        <f t="shared" si="4"/>
        <v>0</v>
      </c>
      <c r="J41" s="763">
        <f t="shared" si="4"/>
        <v>0</v>
      </c>
      <c r="K41" s="763">
        <f t="shared" si="4"/>
        <v>445.61483213793196</v>
      </c>
      <c r="L41" s="763">
        <f t="shared" si="4"/>
        <v>0</v>
      </c>
      <c r="M41" s="763">
        <f t="shared" ca="1" si="4"/>
        <v>0</v>
      </c>
      <c r="N41" s="763">
        <f t="shared" si="4"/>
        <v>0</v>
      </c>
      <c r="O41" s="763">
        <f t="shared" ca="1" si="4"/>
        <v>0</v>
      </c>
      <c r="P41" s="763">
        <f t="shared" si="4"/>
        <v>0</v>
      </c>
      <c r="Q41" s="764">
        <f t="shared" si="4"/>
        <v>0</v>
      </c>
      <c r="R41" s="765">
        <f t="shared" ca="1" si="4"/>
        <v>14494.546755055286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136.06658776988323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136.06658776988323</v>
      </c>
    </row>
    <row r="45" spans="1:18" ht="15" thickBot="1">
      <c r="A45" s="888" t="s">
        <v>307</v>
      </c>
      <c r="B45" s="898"/>
      <c r="C45" s="727">
        <f ca="1">transport!B18</f>
        <v>3.2994560357949703</v>
      </c>
      <c r="D45" s="727">
        <f>transport!C18</f>
        <v>0</v>
      </c>
      <c r="E45" s="727">
        <f>transport!D18</f>
        <v>13.653313984299913</v>
      </c>
      <c r="F45" s="727">
        <f>transport!E18</f>
        <v>20.264667300856992</v>
      </c>
      <c r="G45" s="727">
        <f>transport!F18</f>
        <v>0</v>
      </c>
      <c r="H45" s="727">
        <f>transport!G18</f>
        <v>9963.7399606872314</v>
      </c>
      <c r="I45" s="727">
        <f>transport!H18</f>
        <v>1890.742391987231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11891.699789995415</v>
      </c>
    </row>
    <row r="46" spans="1:18" ht="15.75" thickBot="1">
      <c r="A46" s="886" t="s">
        <v>230</v>
      </c>
      <c r="B46" s="899"/>
      <c r="C46" s="763">
        <f t="shared" ref="C46:R46" ca="1" si="5">SUM(C43:C45)</f>
        <v>3.2994560357949703</v>
      </c>
      <c r="D46" s="763">
        <f t="shared" ca="1" si="5"/>
        <v>0</v>
      </c>
      <c r="E46" s="763">
        <f t="shared" si="5"/>
        <v>13.653313984299913</v>
      </c>
      <c r="F46" s="763">
        <f t="shared" si="5"/>
        <v>20.264667300856992</v>
      </c>
      <c r="G46" s="763">
        <f t="shared" si="5"/>
        <v>0</v>
      </c>
      <c r="H46" s="763">
        <f t="shared" si="5"/>
        <v>10099.806548457114</v>
      </c>
      <c r="I46" s="763">
        <f t="shared" si="5"/>
        <v>1890.742391987231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12027.766377765298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429.42518953355773</v>
      </c>
      <c r="D48" s="718">
        <f ca="1">+landbouw!C12</f>
        <v>0</v>
      </c>
      <c r="E48" s="718">
        <f>+landbouw!D12</f>
        <v>18.474210171999999</v>
      </c>
      <c r="F48" s="718">
        <f>+landbouw!E12</f>
        <v>15.71964475659278</v>
      </c>
      <c r="G48" s="718">
        <f>+landbouw!F12</f>
        <v>2620.5777305853653</v>
      </c>
      <c r="H48" s="718">
        <f>+landbouw!G12</f>
        <v>0</v>
      </c>
      <c r="I48" s="718">
        <f>+landbouw!H12</f>
        <v>0</v>
      </c>
      <c r="J48" s="718">
        <f>+landbouw!I12</f>
        <v>0</v>
      </c>
      <c r="K48" s="718">
        <f>+landbouw!J12</f>
        <v>120.83129485061431</v>
      </c>
      <c r="L48" s="718">
        <f>+landbouw!K12</f>
        <v>0</v>
      </c>
      <c r="M48" s="718">
        <f>+landbouw!L12</f>
        <v>0</v>
      </c>
      <c r="N48" s="718">
        <f>+landbouw!M12</f>
        <v>0</v>
      </c>
      <c r="O48" s="718">
        <f>+landbouw!N12</f>
        <v>0</v>
      </c>
      <c r="P48" s="718">
        <f>+landbouw!O12</f>
        <v>0</v>
      </c>
      <c r="Q48" s="719">
        <f>+landbouw!P12</f>
        <v>0</v>
      </c>
      <c r="R48" s="761">
        <f ca="1">SUM(C48:Q48)</f>
        <v>3205.0280698981305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3307.0651778962333</v>
      </c>
      <c r="D53" s="773">
        <f t="shared" ref="D53:Q53" ca="1" si="6">D41+D46+D48</f>
        <v>0</v>
      </c>
      <c r="E53" s="773">
        <f t="shared" ca="1" si="6"/>
        <v>2002.5736478375004</v>
      </c>
      <c r="F53" s="773">
        <f t="shared" si="6"/>
        <v>707.51211036254756</v>
      </c>
      <c r="G53" s="773">
        <f t="shared" ca="1" si="6"/>
        <v>11153.19519918954</v>
      </c>
      <c r="H53" s="773">
        <f t="shared" si="6"/>
        <v>10099.806548457114</v>
      </c>
      <c r="I53" s="773">
        <f t="shared" si="6"/>
        <v>1890.742391987231</v>
      </c>
      <c r="J53" s="773">
        <f t="shared" si="6"/>
        <v>0</v>
      </c>
      <c r="K53" s="773">
        <f t="shared" si="6"/>
        <v>566.44612698854621</v>
      </c>
      <c r="L53" s="773">
        <f t="shared" si="6"/>
        <v>0</v>
      </c>
      <c r="M53" s="773">
        <f t="shared" ca="1" si="6"/>
        <v>0</v>
      </c>
      <c r="N53" s="773">
        <f t="shared" si="6"/>
        <v>0</v>
      </c>
      <c r="O53" s="773">
        <f t="shared" ca="1" si="6"/>
        <v>0</v>
      </c>
      <c r="P53" s="773">
        <f>P41+P46+P48</f>
        <v>0</v>
      </c>
      <c r="Q53" s="774">
        <f t="shared" si="6"/>
        <v>0</v>
      </c>
      <c r="R53" s="775">
        <f ca="1">R41+R46+R48</f>
        <v>29727.341202718715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0.18227007136025933</v>
      </c>
      <c r="D55" s="836">
        <f t="shared" ca="1" si="7"/>
        <v>0</v>
      </c>
      <c r="E55" s="836">
        <f t="shared" ca="1" si="7"/>
        <v>0.20200000000000007</v>
      </c>
      <c r="F55" s="836">
        <f t="shared" si="7"/>
        <v>0.22700000000000006</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3179.6682759568057</v>
      </c>
      <c r="C66" s="795">
        <f>'lokale energieproductie'!B6</f>
        <v>3179.6682759568057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3179.6682759568057</v>
      </c>
      <c r="C69" s="803">
        <f>SUM(C64:C68)</f>
        <v>3179.6682759568057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9389.1847359630865</v>
      </c>
      <c r="C4" s="478">
        <f>huishoudens!C8</f>
        <v>0</v>
      </c>
      <c r="D4" s="478">
        <f>huishoudens!D8</f>
        <v>7931.6775582000009</v>
      </c>
      <c r="E4" s="478">
        <f>huishoudens!E8</f>
        <v>2736.9070021647667</v>
      </c>
      <c r="F4" s="478">
        <f>huishoudens!F8</f>
        <v>30737.162729445517</v>
      </c>
      <c r="G4" s="478">
        <f>huishoudens!G8</f>
        <v>0</v>
      </c>
      <c r="H4" s="478">
        <f>huishoudens!H8</f>
        <v>0</v>
      </c>
      <c r="I4" s="478">
        <f>huishoudens!I8</f>
        <v>0</v>
      </c>
      <c r="J4" s="478">
        <f>huishoudens!J8</f>
        <v>1258.7936727412616</v>
      </c>
      <c r="K4" s="478">
        <f>huishoudens!K8</f>
        <v>0</v>
      </c>
      <c r="L4" s="478">
        <f>huishoudens!L8</f>
        <v>0</v>
      </c>
      <c r="M4" s="478">
        <f>huishoudens!M8</f>
        <v>0</v>
      </c>
      <c r="N4" s="478">
        <f>huishoudens!N8</f>
        <v>4017.8839016411994</v>
      </c>
      <c r="O4" s="478">
        <f>huishoudens!O8</f>
        <v>87.546666666666681</v>
      </c>
      <c r="P4" s="479">
        <f>huishoudens!P8</f>
        <v>629.20000000000005</v>
      </c>
      <c r="Q4" s="480">
        <f>SUM(B4:P4)</f>
        <v>56788.356266822506</v>
      </c>
    </row>
    <row r="5" spans="1:17">
      <c r="A5" s="477" t="s">
        <v>156</v>
      </c>
      <c r="B5" s="478">
        <f ca="1">tertiair!B16</f>
        <v>5337.2455</v>
      </c>
      <c r="C5" s="478">
        <f ca="1">tertiair!C16</f>
        <v>0</v>
      </c>
      <c r="D5" s="478">
        <f ca="1">tertiair!D16</f>
        <v>1733.0082704000004</v>
      </c>
      <c r="E5" s="478">
        <f>tertiair!E16</f>
        <v>144.2053754722489</v>
      </c>
      <c r="F5" s="478">
        <f ca="1">tertiair!F16</f>
        <v>987.45096753288499</v>
      </c>
      <c r="G5" s="478">
        <f>tertiair!G16</f>
        <v>0</v>
      </c>
      <c r="H5" s="478">
        <f>tertiair!H16</f>
        <v>0</v>
      </c>
      <c r="I5" s="478">
        <f>tertiair!I16</f>
        <v>0</v>
      </c>
      <c r="J5" s="478">
        <f>tertiair!J16</f>
        <v>5.288100354208753E-3</v>
      </c>
      <c r="K5" s="478">
        <f>tertiair!K16</f>
        <v>0</v>
      </c>
      <c r="L5" s="478">
        <f ca="1">tertiair!L16</f>
        <v>0</v>
      </c>
      <c r="M5" s="478">
        <f>tertiair!M16</f>
        <v>0</v>
      </c>
      <c r="N5" s="478">
        <f ca="1">tertiair!N16</f>
        <v>214.82766890394888</v>
      </c>
      <c r="O5" s="478">
        <f>tertiair!O16</f>
        <v>1.5633333333333335</v>
      </c>
      <c r="P5" s="479">
        <f>tertiair!P16</f>
        <v>0</v>
      </c>
      <c r="Q5" s="477">
        <f t="shared" ref="Q5:Q13" ca="1" si="0">SUM(B5:P5)</f>
        <v>8418.3064037427703</v>
      </c>
    </row>
    <row r="6" spans="1:17">
      <c r="A6" s="477" t="s">
        <v>194</v>
      </c>
      <c r="B6" s="478">
        <f>'openbare verlichting'!B8</f>
        <v>452.947</v>
      </c>
      <c r="C6" s="478"/>
      <c r="D6" s="478"/>
      <c r="E6" s="478"/>
      <c r="F6" s="478"/>
      <c r="G6" s="478"/>
      <c r="H6" s="478"/>
      <c r="I6" s="478"/>
      <c r="J6" s="478"/>
      <c r="K6" s="478"/>
      <c r="L6" s="478"/>
      <c r="M6" s="478"/>
      <c r="N6" s="478"/>
      <c r="O6" s="478"/>
      <c r="P6" s="479"/>
      <c r="Q6" s="477">
        <f t="shared" si="0"/>
        <v>452.947</v>
      </c>
    </row>
    <row r="7" spans="1:17">
      <c r="A7" s="477" t="s">
        <v>112</v>
      </c>
      <c r="B7" s="478">
        <f>landbouw!B8</f>
        <v>2355.9830000000002</v>
      </c>
      <c r="C7" s="478">
        <f>landbouw!C8</f>
        <v>0</v>
      </c>
      <c r="D7" s="478">
        <f>landbouw!D8</f>
        <v>91.456485999999998</v>
      </c>
      <c r="E7" s="478">
        <f>landbouw!E8</f>
        <v>69.249536372655413</v>
      </c>
      <c r="F7" s="478">
        <f>landbouw!F8</f>
        <v>9814.8978673609181</v>
      </c>
      <c r="G7" s="478">
        <f>landbouw!G8</f>
        <v>0</v>
      </c>
      <c r="H7" s="478">
        <f>landbouw!H8</f>
        <v>0</v>
      </c>
      <c r="I7" s="478">
        <f>landbouw!I8</f>
        <v>0</v>
      </c>
      <c r="J7" s="478">
        <f>landbouw!J8</f>
        <v>341.33134138591618</v>
      </c>
      <c r="K7" s="478">
        <f>landbouw!K8</f>
        <v>0</v>
      </c>
      <c r="L7" s="478">
        <f>landbouw!L8</f>
        <v>0</v>
      </c>
      <c r="M7" s="478">
        <f>landbouw!M8</f>
        <v>0</v>
      </c>
      <c r="N7" s="478">
        <f>landbouw!N8</f>
        <v>0</v>
      </c>
      <c r="O7" s="478">
        <f>landbouw!O8</f>
        <v>0</v>
      </c>
      <c r="P7" s="479">
        <f>landbouw!P8</f>
        <v>0</v>
      </c>
      <c r="Q7" s="477">
        <f t="shared" si="0"/>
        <v>12672.918231119489</v>
      </c>
    </row>
    <row r="8" spans="1:17">
      <c r="A8" s="477" t="s">
        <v>635</v>
      </c>
      <c r="B8" s="478">
        <f>industrie!B18</f>
        <v>590.30185000000006</v>
      </c>
      <c r="C8" s="478">
        <f>industrie!C18</f>
        <v>0</v>
      </c>
      <c r="D8" s="478">
        <f>industrie!D18</f>
        <v>89.997951999999998</v>
      </c>
      <c r="E8" s="478">
        <f>industrie!E18</f>
        <v>77.159861592489605</v>
      </c>
      <c r="F8" s="478">
        <f>industrie!F18</f>
        <v>232.75509929191145</v>
      </c>
      <c r="G8" s="478">
        <f>industrie!G18</f>
        <v>0</v>
      </c>
      <c r="H8" s="478">
        <f>industrie!H18</f>
        <v>0</v>
      </c>
      <c r="I8" s="478">
        <f>industrie!I18</f>
        <v>0</v>
      </c>
      <c r="J8" s="478">
        <f>industrie!J18</f>
        <v>0</v>
      </c>
      <c r="K8" s="478">
        <f>industrie!K18</f>
        <v>0</v>
      </c>
      <c r="L8" s="478">
        <f>industrie!L18</f>
        <v>0</v>
      </c>
      <c r="M8" s="478">
        <f>industrie!M18</f>
        <v>0</v>
      </c>
      <c r="N8" s="478">
        <f>industrie!N18</f>
        <v>100.77217643079507</v>
      </c>
      <c r="O8" s="478">
        <f>industrie!O18</f>
        <v>0</v>
      </c>
      <c r="P8" s="479">
        <f>industrie!P18</f>
        <v>0</v>
      </c>
      <c r="Q8" s="477">
        <f t="shared" si="0"/>
        <v>1090.9869393151962</v>
      </c>
    </row>
    <row r="9" spans="1:17" s="483" customFormat="1">
      <c r="A9" s="481" t="s">
        <v>561</v>
      </c>
      <c r="B9" s="482">
        <f>transport!B14</f>
        <v>18.10201757848413</v>
      </c>
      <c r="C9" s="482">
        <f>transport!C14</f>
        <v>0</v>
      </c>
      <c r="D9" s="482">
        <f>transport!D14</f>
        <v>67.590663288613428</v>
      </c>
      <c r="E9" s="482">
        <f>transport!E14</f>
        <v>89.271662118312733</v>
      </c>
      <c r="F9" s="482">
        <f>transport!F14</f>
        <v>0</v>
      </c>
      <c r="G9" s="482">
        <f>transport!G14</f>
        <v>37317.378129914723</v>
      </c>
      <c r="H9" s="482">
        <f>transport!H14</f>
        <v>7593.3429397077552</v>
      </c>
      <c r="I9" s="482">
        <f>transport!I14</f>
        <v>0</v>
      </c>
      <c r="J9" s="482">
        <f>transport!J14</f>
        <v>0</v>
      </c>
      <c r="K9" s="482">
        <f>transport!K14</f>
        <v>0</v>
      </c>
      <c r="L9" s="482">
        <f>transport!L14</f>
        <v>0</v>
      </c>
      <c r="M9" s="482">
        <f>transport!M14</f>
        <v>2405.6622323817751</v>
      </c>
      <c r="N9" s="482">
        <f>transport!N14</f>
        <v>0</v>
      </c>
      <c r="O9" s="482">
        <f>transport!O14</f>
        <v>0</v>
      </c>
      <c r="P9" s="482">
        <f>transport!P14</f>
        <v>0</v>
      </c>
      <c r="Q9" s="481">
        <f>SUM(B9:P9)</f>
        <v>47491.347644989663</v>
      </c>
    </row>
    <row r="10" spans="1:17">
      <c r="A10" s="477" t="s">
        <v>551</v>
      </c>
      <c r="B10" s="478">
        <f>transport!B54</f>
        <v>0</v>
      </c>
      <c r="C10" s="478">
        <f>transport!C54</f>
        <v>0</v>
      </c>
      <c r="D10" s="478">
        <f>transport!D54</f>
        <v>0</v>
      </c>
      <c r="E10" s="478">
        <f>transport!E54</f>
        <v>0</v>
      </c>
      <c r="F10" s="478">
        <f>transport!F54</f>
        <v>0</v>
      </c>
      <c r="G10" s="478">
        <f>transport!G54</f>
        <v>509.61268827671614</v>
      </c>
      <c r="H10" s="478">
        <f>transport!H54</f>
        <v>0</v>
      </c>
      <c r="I10" s="478">
        <f>transport!I54</f>
        <v>0</v>
      </c>
      <c r="J10" s="478">
        <f>transport!J54</f>
        <v>0</v>
      </c>
      <c r="K10" s="478">
        <f>transport!K54</f>
        <v>0</v>
      </c>
      <c r="L10" s="478">
        <f>transport!L54</f>
        <v>0</v>
      </c>
      <c r="M10" s="478">
        <f>transport!M54</f>
        <v>28.943750969978534</v>
      </c>
      <c r="N10" s="478">
        <f>transport!N54</f>
        <v>0</v>
      </c>
      <c r="O10" s="478">
        <f>transport!O54</f>
        <v>0</v>
      </c>
      <c r="P10" s="479">
        <f>transport!P54</f>
        <v>0</v>
      </c>
      <c r="Q10" s="477">
        <f t="shared" si="0"/>
        <v>538.55643924669471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18143.764103541569</v>
      </c>
      <c r="C14" s="488">
        <f t="shared" ref="C14:Q14" ca="1" si="1">SUM(C4:C13)</f>
        <v>0</v>
      </c>
      <c r="D14" s="488">
        <f t="shared" ca="1" si="1"/>
        <v>9913.7309298886121</v>
      </c>
      <c r="E14" s="488">
        <f t="shared" si="1"/>
        <v>3116.7934377204729</v>
      </c>
      <c r="F14" s="488">
        <f t="shared" ca="1" si="1"/>
        <v>41772.266663631235</v>
      </c>
      <c r="G14" s="488">
        <f t="shared" si="1"/>
        <v>37826.990818191436</v>
      </c>
      <c r="H14" s="488">
        <f t="shared" si="1"/>
        <v>7593.3429397077552</v>
      </c>
      <c r="I14" s="488">
        <f t="shared" si="1"/>
        <v>0</v>
      </c>
      <c r="J14" s="488">
        <f t="shared" si="1"/>
        <v>1600.130302227532</v>
      </c>
      <c r="K14" s="488">
        <f t="shared" si="1"/>
        <v>0</v>
      </c>
      <c r="L14" s="488">
        <f t="shared" ca="1" si="1"/>
        <v>0</v>
      </c>
      <c r="M14" s="488">
        <f t="shared" si="1"/>
        <v>2434.6059833517538</v>
      </c>
      <c r="N14" s="488">
        <f t="shared" ca="1" si="1"/>
        <v>4333.4837469759432</v>
      </c>
      <c r="O14" s="488">
        <f t="shared" si="1"/>
        <v>89.110000000000014</v>
      </c>
      <c r="P14" s="489">
        <f t="shared" si="1"/>
        <v>629.20000000000005</v>
      </c>
      <c r="Q14" s="489">
        <f t="shared" ca="1" si="1"/>
        <v>127453.4189252363</v>
      </c>
    </row>
    <row r="16" spans="1:17">
      <c r="A16" s="491" t="s">
        <v>556</v>
      </c>
      <c r="B16" s="841">
        <f ca="1">huishoudens!B10</f>
        <v>0.18227007136025927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1711.367371838649</v>
      </c>
      <c r="C21" s="478">
        <f t="shared" ref="C21:C30" ca="1" si="3">C4*$C$16</f>
        <v>0</v>
      </c>
      <c r="D21" s="478">
        <f t="shared" ref="D21:D30" si="4">D4*$D$16</f>
        <v>1602.1988667564003</v>
      </c>
      <c r="E21" s="478">
        <f t="shared" ref="E21:E30" si="5">E4*$E$16</f>
        <v>621.27788949140211</v>
      </c>
      <c r="F21" s="478">
        <f t="shared" ref="F21:F30" si="6">F4*$F$16</f>
        <v>8206.8224487619536</v>
      </c>
      <c r="G21" s="478">
        <f t="shared" ref="G21:G30" si="7">G4*$G$16</f>
        <v>0</v>
      </c>
      <c r="H21" s="478">
        <f t="shared" ref="H21:H30" si="8">H4*$H$16</f>
        <v>0</v>
      </c>
      <c r="I21" s="478">
        <f t="shared" ref="I21:I30" si="9">I4*$I$16</f>
        <v>0</v>
      </c>
      <c r="J21" s="478">
        <f t="shared" ref="J21:J30" si="10">J4*$J$16</f>
        <v>445.61296015040659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12587.279536998813</v>
      </c>
    </row>
    <row r="22" spans="1:17">
      <c r="A22" s="477" t="s">
        <v>156</v>
      </c>
      <c r="B22" s="478">
        <f t="shared" ca="1" si="2"/>
        <v>972.82011815222268</v>
      </c>
      <c r="C22" s="478">
        <f t="shared" ca="1" si="3"/>
        <v>0</v>
      </c>
      <c r="D22" s="478">
        <f t="shared" ca="1" si="4"/>
        <v>350.06767062080007</v>
      </c>
      <c r="E22" s="478">
        <f t="shared" si="5"/>
        <v>32.734620232200506</v>
      </c>
      <c r="F22" s="478">
        <f t="shared" ca="1" si="6"/>
        <v>263.64940833128031</v>
      </c>
      <c r="G22" s="478">
        <f t="shared" si="7"/>
        <v>0</v>
      </c>
      <c r="H22" s="478">
        <f t="shared" si="8"/>
        <v>0</v>
      </c>
      <c r="I22" s="478">
        <f t="shared" si="9"/>
        <v>0</v>
      </c>
      <c r="J22" s="478">
        <f t="shared" si="10"/>
        <v>1.8719875253898986E-3</v>
      </c>
      <c r="K22" s="478">
        <f t="shared" si="11"/>
        <v>0</v>
      </c>
      <c r="L22" s="478">
        <f t="shared" ca="1" si="12"/>
        <v>0</v>
      </c>
      <c r="M22" s="478">
        <f t="shared" si="13"/>
        <v>0</v>
      </c>
      <c r="N22" s="478">
        <f t="shared" ca="1" si="14"/>
        <v>0</v>
      </c>
      <c r="O22" s="478">
        <f t="shared" si="15"/>
        <v>0</v>
      </c>
      <c r="P22" s="479">
        <f t="shared" si="16"/>
        <v>0</v>
      </c>
      <c r="Q22" s="477">
        <f t="shared" ref="Q22:Q30" ca="1" si="17">SUM(B22:P22)</f>
        <v>1619.273689324029</v>
      </c>
    </row>
    <row r="23" spans="1:17">
      <c r="A23" s="477" t="s">
        <v>194</v>
      </c>
      <c r="B23" s="478">
        <f t="shared" ca="1" si="2"/>
        <v>82.55868201241536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82.55868201241536</v>
      </c>
    </row>
    <row r="24" spans="1:17">
      <c r="A24" s="477" t="s">
        <v>112</v>
      </c>
      <c r="B24" s="478">
        <f t="shared" ca="1" si="2"/>
        <v>429.42518953355773</v>
      </c>
      <c r="C24" s="478">
        <f t="shared" ca="1" si="3"/>
        <v>0</v>
      </c>
      <c r="D24" s="478">
        <f t="shared" si="4"/>
        <v>18.474210171999999</v>
      </c>
      <c r="E24" s="478">
        <f t="shared" si="5"/>
        <v>15.71964475659278</v>
      </c>
      <c r="F24" s="478">
        <f t="shared" si="6"/>
        <v>2620.5777305853653</v>
      </c>
      <c r="G24" s="478">
        <f t="shared" si="7"/>
        <v>0</v>
      </c>
      <c r="H24" s="478">
        <f t="shared" si="8"/>
        <v>0</v>
      </c>
      <c r="I24" s="478">
        <f t="shared" si="9"/>
        <v>0</v>
      </c>
      <c r="J24" s="478">
        <f t="shared" si="10"/>
        <v>120.83129485061431</v>
      </c>
      <c r="K24" s="478">
        <f t="shared" si="11"/>
        <v>0</v>
      </c>
      <c r="L24" s="478">
        <f t="shared" si="12"/>
        <v>0</v>
      </c>
      <c r="M24" s="478">
        <f t="shared" si="13"/>
        <v>0</v>
      </c>
      <c r="N24" s="478">
        <f t="shared" si="14"/>
        <v>0</v>
      </c>
      <c r="O24" s="478">
        <f t="shared" si="15"/>
        <v>0</v>
      </c>
      <c r="P24" s="479">
        <f t="shared" si="16"/>
        <v>0</v>
      </c>
      <c r="Q24" s="477">
        <f t="shared" ca="1" si="17"/>
        <v>3205.0280698981305</v>
      </c>
    </row>
    <row r="25" spans="1:17">
      <c r="A25" s="477" t="s">
        <v>635</v>
      </c>
      <c r="B25" s="478">
        <f t="shared" ca="1" si="2"/>
        <v>107.59436032359308</v>
      </c>
      <c r="C25" s="478">
        <f t="shared" ca="1" si="3"/>
        <v>0</v>
      </c>
      <c r="D25" s="478">
        <f t="shared" si="4"/>
        <v>18.179586304000001</v>
      </c>
      <c r="E25" s="478">
        <f t="shared" si="5"/>
        <v>17.515288581495142</v>
      </c>
      <c r="F25" s="478">
        <f t="shared" si="6"/>
        <v>62.145611510940363</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205.43484672002859</v>
      </c>
    </row>
    <row r="26" spans="1:17" s="483" customFormat="1">
      <c r="A26" s="481" t="s">
        <v>561</v>
      </c>
      <c r="B26" s="835">
        <f t="shared" ca="1" si="2"/>
        <v>3.2994560357949703</v>
      </c>
      <c r="C26" s="482">
        <f t="shared" ca="1" si="3"/>
        <v>0</v>
      </c>
      <c r="D26" s="482">
        <f t="shared" si="4"/>
        <v>13.653313984299913</v>
      </c>
      <c r="E26" s="482">
        <f t="shared" si="5"/>
        <v>20.264667300856992</v>
      </c>
      <c r="F26" s="482">
        <f t="shared" si="6"/>
        <v>0</v>
      </c>
      <c r="G26" s="482">
        <f t="shared" si="7"/>
        <v>9963.7399606872314</v>
      </c>
      <c r="H26" s="482">
        <f t="shared" si="8"/>
        <v>1890.742391987231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11891.699789995415</v>
      </c>
    </row>
    <row r="27" spans="1:17">
      <c r="A27" s="477" t="s">
        <v>551</v>
      </c>
      <c r="B27" s="478">
        <f t="shared" ca="1" si="2"/>
        <v>0</v>
      </c>
      <c r="C27" s="478">
        <f t="shared" ca="1" si="3"/>
        <v>0</v>
      </c>
      <c r="D27" s="478">
        <f t="shared" si="4"/>
        <v>0</v>
      </c>
      <c r="E27" s="478">
        <f t="shared" si="5"/>
        <v>0</v>
      </c>
      <c r="F27" s="478">
        <f t="shared" si="6"/>
        <v>0</v>
      </c>
      <c r="G27" s="478">
        <f t="shared" si="7"/>
        <v>136.06658776988323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136.06658776988323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3307.0651778962333</v>
      </c>
      <c r="C31" s="488">
        <f t="shared" ca="1" si="18"/>
        <v>0</v>
      </c>
      <c r="D31" s="488">
        <f t="shared" ca="1" si="18"/>
        <v>2002.5736478375004</v>
      </c>
      <c r="E31" s="488">
        <f t="shared" si="18"/>
        <v>707.51211036254756</v>
      </c>
      <c r="F31" s="488">
        <f t="shared" ca="1" si="18"/>
        <v>11153.19519918954</v>
      </c>
      <c r="G31" s="488">
        <f t="shared" si="18"/>
        <v>10099.806548457114</v>
      </c>
      <c r="H31" s="488">
        <f t="shared" si="18"/>
        <v>1890.742391987231</v>
      </c>
      <c r="I31" s="488">
        <f t="shared" si="18"/>
        <v>0</v>
      </c>
      <c r="J31" s="488">
        <f t="shared" si="18"/>
        <v>566.44612698854621</v>
      </c>
      <c r="K31" s="488">
        <f t="shared" si="18"/>
        <v>0</v>
      </c>
      <c r="L31" s="488">
        <f t="shared" ca="1" si="18"/>
        <v>0</v>
      </c>
      <c r="M31" s="488">
        <f t="shared" si="18"/>
        <v>0</v>
      </c>
      <c r="N31" s="488">
        <f t="shared" ca="1" si="18"/>
        <v>0</v>
      </c>
      <c r="O31" s="488">
        <f t="shared" si="18"/>
        <v>0</v>
      </c>
      <c r="P31" s="489">
        <f t="shared" si="18"/>
        <v>0</v>
      </c>
      <c r="Q31" s="489">
        <f t="shared" ca="1" si="18"/>
        <v>29727.341202718715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0.18227007136025927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0.18227007136025927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0.18227007136025927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2018-09-06T12:47:23Z</dcterms:modified>
</cp:coreProperties>
</file>