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<sst xmlns="http://schemas.openxmlformats.org/spreadsheetml/2006/main" count="1914" uniqueCount="809">
  <si>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</si>
  <si>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</si>
  <si>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</si>
  <si>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</si>
  <si>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</si>
  <si>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</si>
  <si>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</si>
  <si>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</si>
  <si>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</si>
  <si>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</si>
  <si>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</si>
  <si>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</si>
  <si>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</si>
  <si>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</si>
  <si>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</si>
  <si>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</si>
  <si>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</si>
  <si>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</si>
  <si>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</si>
  <si>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</si>
  <si>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</si>
  <si>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</si>
  <si>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</si>
  <si>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</si>
  <si>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</si>
  <si>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</si>
  <si>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</si>
  <si>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</si>
  <si>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</si>
  <si>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</si>
  <si>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</si>
  <si>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</si>
  <si>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</si>
  <si>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</si>
  <si>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</si>
  <si>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</si>
  <si>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</si>
  <si>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</si>
  <si>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</si>
  <si>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</si>
  <si>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</si>
  <si>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</si>
  <si>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</si>
  <si>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</si>
  <si>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</si>
  <si>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</si>
  <si>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</si>
  <si>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</si>
  <si>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</si>
  <si>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</si>
  <si>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</si>
  <si>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</si>
  <si>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</si>
  <si>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</si>
  <si>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</si>
  <si>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</si>
  <si>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</si>
  <si>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</si>
  <si>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</si>
  <si>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</si>
  <si>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</si>
  <si>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</si>
  <si>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</si>
  <si>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</si>
  <si>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</si>
  <si>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</si>
  <si>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</si>
  <si>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</si>
  <si>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</si>
  <si>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</si>
  <si>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</si>
  <si>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</si>
  <si>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</si>
  <si>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</si>
  <si>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</si>
  <si>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</si>
  <si>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</si>
  <si>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</si>
  <si>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</si>
  <si>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</si>
  <si>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</si>
  <si>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</si>
  <si>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</si>
  <si>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</si>
  <si>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</si>
  <si>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</si>
  <si>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</si>
  <si>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</si>
  <si>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</si>
  <si>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</si>
  <si>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</si>
  <si>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</si>
  <si>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</si>
  <si>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</si>
  <si>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</si>
  <si>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</si>
  <si>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</si>
  <si>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</si>
  <si>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</si>
  <si>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</si>
  <si>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</si>
  <si>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</si>
  <si>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</si>
  <si>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</si>
  <si>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</si>
  <si>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</si>
  <si>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</si>
  <si>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</si>
  <si>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</si>
  <si>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</si>
  <si>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</si>
  <si>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</si>
  <si>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</si>
  <si>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</si>
  <si>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</si>
  <si>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</si>
  <si>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</si>
  <si>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</si>
  <si>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</si>
  <si>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</si>
  <si>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</si>
  <si>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</si>
  <si>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</si>
  <si>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</si>
  <si>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</si>
  <si>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</si>
  <si>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</si>
  <si>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</si>
  <si>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</si>
  <si>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</si>
  <si>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</si>
  <si>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</si>
  <si>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</si>
  <si>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</si>
  <si>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</si>
  <si>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</si>
  <si>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</si>
  <si>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</si>
  <si>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</si>
  <si>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</si>
  <si>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</si>
  <si>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</si>
  <si>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</si>
  <si>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</si>
  <si>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</si>
  <si>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</si>
  <si>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</si>
  <si>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</si>
  <si>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</si>
  <si>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</si>
  <si>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</si>
  <si>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</si>
  <si>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</si>
  <si>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</si>
  <si>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</si>
  <si>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</si>
  <si>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</si>
  <si>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</si>
  <si>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</si>
  <si>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</si>
  <si>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</si>
  <si>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</si>
  <si>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</si>
  <si>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</si>
  <si>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</si>
  <si>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</si>
  <si>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</si>
  <si>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</si>
  <si>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</si>
  <si>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</si>
  <si>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</si>
  <si>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</si>
  <si>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</si>
  <si>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</si>
  <si>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</si>
  <si>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</si>
  <si>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</si>
  <si>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</si>
  <si>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</si>
  <si>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</si>
  <si>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</si>
  <si>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</si>
  <si>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</si>
  <si>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</si>
  <si>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</si>
  <si>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</si>
  <si>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</si>
  <si>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</si>
  <si>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</si>
  <si>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</si>
  <si>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</si>
  <si>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</si>
  <si>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</si>
  <si>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</si>
  <si>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</si>
  <si>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</si>
  <si>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</si>
  <si>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</si>
  <si>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</si>
  <si>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</si>
  <si>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</si>
  <si>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</si>
  <si>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</si>
  <si>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</si>
  <si>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</si>
  <si>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</si>
  <si>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</si>
  <si>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</si>
  <si>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</si>
  <si>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</si>
  <si>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</si>
  <si>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</si>
  <si>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</si>
  <si>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</si>
  <si>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</si>
  <si>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</si>
  <si>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</si>
  <si>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</si>
  <si>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</si>
  <si>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</si>
  <si>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</si>
  <si>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</si>
  <si>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</si>
  <si>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</si>
  <si>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</si>
  <si>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</si>
  <si>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</si>
  <si>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</si>
  <si>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</si>
  <si>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</si>
  <si>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</si>
  <si>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</si>
  <si>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</si>
  <si>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</si>
  <si>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</si>
  <si>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</si>
  <si>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</si>
  <si>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</si>
  <si>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</si>
  <si>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</si>
  <si>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</si>
  <si>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</si>
  <si>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</si>
  <si>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</si>
  <si>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</si>
  <si>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</si>
  <si>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</si>
  <si>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</si>
  <si>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</si>
  <si>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</si>
  <si>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</si>
  <si>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</si>
  <si>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</si>
  <si>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</si>
  <si>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</si>
  <si>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</si>
  <si>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</si>
  <si>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</si>
  <si>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</si>
  <si>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</si>
  <si>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</si>
  <si>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</si>
  <si>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</si>
  <si>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</si>
  <si>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</si>
  <si>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</si>
  <si>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</si>
  <si>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</si>
  <si>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</si>
  <si>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</si>
  <si>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</si>
  <si>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</si>
  <si>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</si>
  <si>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</si>
  <si>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</si>
  <si>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</si>
  <si>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</si>
  <si>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</si>
  <si>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</si>
  <si>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</si>
  <si>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</si>
  <si>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</si>
  <si>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</si>
  <si>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</si>
  <si>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</si>
  <si>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</si>
  <si>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</si>
  <si>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</si>
  <si>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</si>
  <si>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</si>
  <si>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</si>
  <si>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</si>
  <si>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</si>
  <si>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</si>
  <si>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</si>
  <si>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</si>
  <si>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</si>
  <si>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</si>
  <si>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</si>
  <si>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</si>
  <si>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</si>
  <si>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</si>
  <si>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</si>
  <si>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</si>
  <si>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</si>
  <si>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</si>
  <si>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</si>
  <si>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</si>
  <si>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</si>
  <si>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</si>
  <si>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</si>
  <si>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</si>
  <si>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</si>
  <si>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</si>
  <si>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</si>
  <si>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</si>
  <si>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</si>
  <si>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</si>
  <si>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</si>
  <si>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</si>
  <si>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</si>
  <si>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</si>
  <si>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</si>
  <si>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</si>
  <si>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</si>
  <si>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</si>
  <si>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</si>
  <si>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</si>
  <si>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</si>
  <si>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</si>
  <si>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</si>
  <si>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</si>
  <si>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</si>
  <si>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</si>
  <si>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</si>
  <si>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</si>
  <si>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</si>
  <si>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</si>
  <si>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</si>
  <si>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</si>
  <si>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</si>
  <si>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</si>
  <si>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</si>
  <si>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</si>
  <si>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</si>
  <si>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</si>
  <si>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</si>
  <si>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</si>
  <si>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</si>
  <si>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</si>
  <si>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</si>
  <si>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</si>
  <si>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</si>
  <si>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</si>
  <si>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</si>
  <si>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</si>
  <si>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</si>
  <si>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</si>
  <si>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</si>
  <si>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</si>
  <si>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</si>
  <si>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</si>
  <si>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</si>
  <si>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</si>
  <si>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</si>
  <si>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</si>
  <si>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</si>
  <si>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</si>
  <si>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</si>
  <si>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</si>
  <si>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</si>
  <si>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</si>
  <si>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</si>
  <si>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</si>
  <si>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</si>
  <si>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</si>
  <si>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</si>
  <si>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</si>
  <si>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</si>
  <si>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</si>
  <si>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</si>
  <si>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</si>
  <si>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</si>
  <si>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</si>
  <si>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</si>
  <si>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</si>
  <si>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</si>
  <si>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</si>
  <si>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</si>
  <si>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</si>
  <si>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</si>
  <si>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</si>
  <si>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</si>
  <si>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</si>
  <si>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</si>
  <si>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</si>
  <si>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</si>
  <si>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</si>
  <si>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</si>
  <si>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</si>
  <si>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</si>
  <si>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</si>
  <si>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</si>
  <si>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</si>
  <si>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</si>
  <si>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</si>
  <si>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</si>
  <si>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</si>
  <si>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</si>
  <si>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</si>
  <si>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</si>
  <si>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</si>
  <si>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</si>
  <si>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</si>
  <si>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</si>
  <si>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</si>
  <si>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</si>
  <si>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</si>
  <si>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</si>
  <si>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</si>
  <si>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</si>
  <si>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</si>
  <si>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</si>
  <si>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</si>
  <si>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</si>
  <si>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</si>
  <si>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</si>
  <si>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</si>
  <si>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</si>
  <si>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</si>
  <si>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</si>
  <si>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</si>
  <si>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</si>
  <si>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</si>
  <si>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</si>
  <si>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</si>
  <si>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</si>
  <si>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</si>
  <si>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</si>
  <si>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</si>
  <si>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</si>
  <si>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</si>
  <si>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</si>
  <si>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</si>
  <si>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</si>
  <si>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</si>
  <si>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</si>
  <si>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</si>
  <si>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</si>
  <si>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</si>
  <si>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</si>
  <si>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</si>
  <si>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</si>
  <si>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</si>
  <si>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</si>
  <si>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</si>
  <si>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</si>
  <si>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</si>
  <si>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</si>
  <si>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</si>
  <si>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</si>
  <si>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</si>
  <si>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</si>
  <si>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</si>
  <si>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</si>
  <si>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</si>
  <si>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</si>
  <si>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</si>
  <si>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</si>
  <si>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</si>
  <si>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</si>
  <si>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</si>
  <si>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</si>
  <si>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</si>
  <si>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</si>
  <si>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</si>
  <si>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</si>
  <si>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</si>
  <si>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</si>
  <si>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</si>
  <si>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</si>
  <si>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</si>
  <si>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</si>
  <si>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</si>
  <si>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</si>
  <si>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</si>
  <si>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</si>
  <si>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</si>
  <si>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</si>
  <si>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</si>
  <si>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</si>
  <si>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</si>
  <si>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</si>
  <si>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</si>
  <si>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</si>
  <si>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</si>
  <si>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</si>
  <si>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</si>
  <si>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</si>
  <si>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</si>
  <si>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</si>
  <si>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</si>
  <si>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</si>
  <si>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</si>
  <si>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</si>
  <si>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</si>
  <si>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</si>
  <si>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</si>
  <si>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</si>
  <si>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</si>
  <si>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</si>
  <si>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</si>
  <si>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</si>
  <si>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</si>
  <si>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</si>
  <si>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</si>
  <si>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</si>
  <si>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</si>
  <si>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</si>
  <si>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</si>
  <si>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</si>
  <si>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</si>
  <si>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</si>
  <si>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</si>
  <si>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</si>
  <si>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</si>
  <si>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</si>
  <si>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</si>
  <si>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</si>
  <si>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</si>
  <si>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</si>
  <si>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</si>
  <si>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</si>
  <si>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</si>
  <si>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</si>
  <si>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</si>
  <si>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</si>
  <si>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</si>
  <si>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</si>
  <si>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</si>
  <si>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</si>
  <si>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</si>
  <si>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</si>
  <si>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</si>
  <si>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</si>
  <si>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</si>
  <si>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</si>
  <si>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</si>
  <si>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</si>
  <si>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</si>
  <si>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</si>
  <si>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</si>
  <si>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</si>
  <si>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</si>
  <si>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</si>
  <si>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</si>
  <si>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</si>
  <si>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</si>
  <si>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</si>
  <si>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</si>
  <si>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</si>
  <si>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</si>
  <si>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</si>
  <si>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</si>
  <si>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</si>
  <si>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</si>
  <si>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</si>
  <si>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</si>
  <si>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</si>
  <si>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</si>
  <si>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</si>
  <si>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</si>
  <si>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</si>
  <si>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</si>
  <si>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</si>
  <si>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</si>
  <si>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</si>
  <si>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</si>
  <si>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</si>
  <si>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</si>
  <si>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</si>
  <si>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</si>
  <si>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</si>
  <si>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</si>
  <si>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</si>
  <si>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</si>
  <si>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</si>
  <si>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</si>
  <si>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</si>
  <si>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</si>
  <si>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</si>
  <si>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</si>
  <si>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</si>
  <si>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</si>
  <si>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</si>
  <si>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</si>
  <si>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</si>
  <si>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</si>
  <si>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</si>
  <si>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</si>
  <si>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</si>
  <si>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</si>
  <si>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</si>
  <si>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</si>
  <si>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</si>
  <si>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</si>
  <si>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</si>
  <si>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</si>
  <si>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</si>
  <si>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</si>
  <si>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</si>
  <si>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</si>
  <si>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</si>
  <si>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</si>
  <si>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</si>
  <si>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</si>
  <si>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</si>
  <si>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</si>
  <si>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</si>
  <si>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</si>
  <si>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</si>
  <si>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</si>
  <si>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</si>
  <si>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</si>
  <si>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</si>
  <si>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</si>
  <si>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</si>
  <si>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</si>
  <si>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</si>
  <si>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</si>
  <si>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</si>
  <si>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</si>
  <si>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</si>
  <si>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</si>
  <si>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</si>
  <si>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</si>
  <si>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</si>
  <si>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</si>
  <si>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</si>
  <si>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</si>
  <si>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</si>
  <si>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</si>
  <si>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</si>
  <si>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</si>
  <si>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</si>
  <si>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</si>
  <si>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</si>
  <si>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</si>
  <si>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</si>
  <si>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</si>
  <si>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</si>
  <si>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</si>
  <si>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</si>
  <si>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</si>
  <si>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</si>
  <si>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</si>
  <si>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</si>
  <si>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</si>
  <si>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</si>
  <si>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</si>
  <si>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</si>
  <si>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</si>
  <si>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</si>
  <si>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</si>
  <si>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</si>
  <si>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</si>
  <si>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</si>
  <si>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</si>
  <si>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</si>
  <si>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</si>
  <si>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</si>
  <si>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</si>
  <si>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</si>
  <si>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</si>
  <si>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</si>
  <si>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</si>
  <si>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</si>
  <si>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</si>
  <si>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</si>
  <si>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</si>
  <si>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</si>
  <si>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</si>
  <si>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</si>
  <si>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</si>
  <si>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</si>
  <si>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</si>
  <si>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</si>
  <si>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</si>
  <si>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</si>
  <si>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</si>
  <si>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</si>
  <si>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</si>
  <si>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</si>
  <si>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</si>
  <si>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</si>
  <si>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</si>
  <si>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</si>
  <si>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</si>
  <si>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</si>
  <si>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</si>
  <si>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</si>
  <si>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</si>
  <si>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</si>
  <si>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</si>
  <si>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</si>
  <si>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</si>
  <si>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</si>
  <si>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</si>
  <si>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</si>
  <si>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</si>
  <si>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</si>
  <si>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</si>
  <si>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</si>
  <si>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</si>
  <si>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</si>
  <si>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</si>
  <si>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</si>
  <si>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</si>
  <si>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</si>
  <si>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</si>
  <si>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</si>
  <si>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</si>
  <si>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</si>
  <si>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</si>
  <si>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</si>
  <si>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</si>
  <si>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</si>
  <si>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</si>
  <si>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</si>
  <si>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</si>
  <si>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</si>
  <si>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</si>
  <si>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</si>
  <si>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</si>
  <si>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</si>
  <si>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</si>
  <si>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</si>
  <si>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</si>
  <si>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</si>
  <si>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</si>
  <si>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</si>
  <si>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</si>
  <si>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</si>
  <si>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</si>
  <si>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</si>
  <si>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</si>
  <si>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</si>
  <si>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</si>
  <si>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</si>
  <si>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</si>
  <si>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</si>
  <si>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</si>
  <si>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</si>
  <si>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</si>
  <si>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</si>
  <si>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</si>
  <si>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</si>
  <si>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</si>
  <si>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</si>
  <si>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</si>
  <si>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</si>
  <si>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</si>
  <si>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</si>
  <si>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</si>
  <si>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</si>
  <si>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</si>
  <si>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</si>
  <si>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</si>
  <si>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</si>
  <si>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</si>
  <si>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</si>
  <si>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</si>
  <si>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</si>
  <si>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</si>
  <si>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</si>
  <si>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</si>
  <si>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</si>
  <si>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</si>
  <si>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</si>
  <si>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</si>
  <si>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</si>
  <si>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</si>
  <si>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</si>
  <si>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</si>
  <si>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</si>
  <si>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</si>
  <si>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</si>
  <si>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</si>
  <si>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</si>
  <si>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</si>
  <si>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</si>
  <si>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</si>
  <si>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</si>
  <si>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</si>
  <si>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</si>
  <si>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</si>
  <si>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</si>
  <si>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</si>
  <si>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</si>
  <si>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</si>
  <si>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</si>
  <si>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24135</t>
  </si>
  <si>
    <t>TIELT-WINGE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</si>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</sst>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111897.1017221388</c:v>
                </c:pt>
                <c:pt idx="1">
                  <c:v>17264.787305522368</c:v>
                </c:pt>
                <c:pt idx="2">
                  <c:v>599.49300000000005</c:v>
                </c:pt>
                <c:pt idx="3">
                  <c:v>6942.7343245830707</c:v>
                </c:pt>
                <c:pt idx="4">
                  <c:v>2364.4047782301404</c:v>
                </c:pt>
                <c:pt idx="5">
                  <c:v>100236.29044916258</c:v>
                </c:pt>
                <c:pt idx="6">
                  <c:v>2236.8002784584587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37696"/>
      </c:barChart>
      <c:catAx>
        <c:axId val="18258675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111897.1017221388</c:v>
                </c:pt>
                <c:pt idx="1">
                  <c:v>17264.787305522368</c:v>
                </c:pt>
                <c:pt idx="2">
                  <c:v>599.49300000000005</c:v>
                </c:pt>
                <c:pt idx="3">
                  <c:v>6942.7343245830707</c:v>
                </c:pt>
                <c:pt idx="4">
                  <c:v>2364.4047782301404</c:v>
                </c:pt>
                <c:pt idx="5">
                  <c:v>100236.29044916258</c:v>
                </c:pt>
                <c:pt idx="6">
                  <c:v>2236.8002784584587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23441.562859137513</c:v>
                </c:pt>
                <c:pt idx="1">
                  <c:v>3411.416471831531</c:v>
                </c:pt>
                <c:pt idx="2">
                  <c:v>117.5849581879562</c:v>
                </c:pt>
                <c:pt idx="3">
                  <c:v>1760.2556259693163</c:v>
                </c:pt>
                <c:pt idx="4">
                  <c:v>457.90559128696106</c:v>
                </c:pt>
                <c:pt idx="5">
                  <c:v>25088.888603143761</c:v>
                </c:pt>
                <c:pt idx="6">
                  <c:v>565.12885044746974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23441.562859137513</c:v>
                </c:pt>
                <c:pt idx="1">
                  <c:v>3411.416471831531</c:v>
                </c:pt>
                <c:pt idx="2">
                  <c:v>117.5849581879562</c:v>
                </c:pt>
                <c:pt idx="3">
                  <c:v>1760.2556259693163</c:v>
                </c:pt>
                <c:pt idx="4">
                  <c:v>457.90559128696106</c:v>
                </c:pt>
                <c:pt idx="5">
                  <c:v>25088.888603143761</c:v>
                </c:pt>
                <c:pt idx="6">
                  <c:v>565.12885044746974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24135</v>
      </c>
      <c r="B6" s="415"/>
      <c r="C6" s="416"/>
    </row>
    <row r="7" spans="1:7" s="413" customFormat="1" ht="15.75" customHeight="1">
      <c r="A7" s="417" t="str">
        <f>txtMunicipality</f>
        <v>TIELT-WINGE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4379</v>
      </c>
      <c r="C9" s="342">
        <v>4553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2032.38</v>
      </c>
    </row>
    <row r="15" spans="1:6">
      <c r="A15" s="348" t="s">
        <v>184</v>
      </c>
      <c r="B15" s="334">
        <v>8</v>
      </c>
    </row>
    <row r="16" spans="1:6">
      <c r="A16" s="348" t="s">
        <v>6</v>
      </c>
      <c r="B16" s="334">
        <v>197</v>
      </c>
    </row>
    <row r="17" spans="1:6">
      <c r="A17" s="348" t="s">
        <v>7</v>
      </c>
      <c r="B17" s="334">
        <v>431</v>
      </c>
    </row>
    <row r="18" spans="1:6">
      <c r="A18" s="348" t="s">
        <v>8</v>
      </c>
      <c r="B18" s="334">
        <v>571</v>
      </c>
    </row>
    <row r="19" spans="1:6">
      <c r="A19" s="348" t="s">
        <v>9</v>
      </c>
      <c r="B19" s="334">
        <v>408</v>
      </c>
    </row>
    <row r="20" spans="1:6">
      <c r="A20" s="348" t="s">
        <v>10</v>
      </c>
      <c r="B20" s="334">
        <v>177</v>
      </c>
    </row>
    <row r="21" spans="1:6">
      <c r="A21" s="348" t="s">
        <v>11</v>
      </c>
      <c r="B21" s="334">
        <v>1128</v>
      </c>
    </row>
    <row r="22" spans="1:6">
      <c r="A22" s="348" t="s">
        <v>12</v>
      </c>
      <c r="B22" s="334">
        <v>3583</v>
      </c>
    </row>
    <row r="23" spans="1:6">
      <c r="A23" s="348" t="s">
        <v>13</v>
      </c>
      <c r="B23" s="334">
        <v>0</v>
      </c>
    </row>
    <row r="24" spans="1:6">
      <c r="A24" s="348" t="s">
        <v>14</v>
      </c>
      <c r="B24" s="334">
        <v>0</v>
      </c>
    </row>
    <row r="25" spans="1:6">
      <c r="A25" s="348" t="s">
        <v>15</v>
      </c>
      <c r="B25" s="334">
        <v>38</v>
      </c>
    </row>
    <row r="26" spans="1:6">
      <c r="A26" s="348" t="s">
        <v>16</v>
      </c>
      <c r="B26" s="334">
        <v>740</v>
      </c>
    </row>
    <row r="27" spans="1:6">
      <c r="A27" s="348" t="s">
        <v>17</v>
      </c>
      <c r="B27" s="334">
        <v>4</v>
      </c>
    </row>
    <row r="28" spans="1:6" s="356" customFormat="1">
      <c r="A28" s="355" t="s">
        <v>18</v>
      </c>
      <c r="B28" s="355">
        <v>88237</v>
      </c>
    </row>
    <row r="29" spans="1:6">
      <c r="A29" s="355" t="s">
        <v>744</v>
      </c>
      <c r="B29" s="355">
        <v>78</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21485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1319</v>
      </c>
      <c r="D39" s="334">
        <v>21009622.449999999</v>
      </c>
      <c r="E39" s="334">
        <v>4233</v>
      </c>
      <c r="F39" s="334">
        <v>16012400.950000001</v>
      </c>
    </row>
    <row r="40" spans="1:6">
      <c r="A40" s="348" t="s">
        <v>30</v>
      </c>
      <c r="B40" s="348" t="s">
        <v>29</v>
      </c>
      <c r="C40" s="334">
        <v>0</v>
      </c>
      <c r="D40" s="334">
        <v>0</v>
      </c>
      <c r="E40" s="334">
        <v>0</v>
      </c>
      <c r="F40" s="334">
        <v>0</v>
      </c>
    </row>
    <row r="41" spans="1:6">
      <c r="A41" s="348" t="s">
        <v>32</v>
      </c>
      <c r="B41" s="348" t="s">
        <v>33</v>
      </c>
      <c r="C41" s="334">
        <v>17</v>
      </c>
      <c r="D41" s="334">
        <v>385287</v>
      </c>
      <c r="E41" s="334">
        <v>82</v>
      </c>
      <c r="F41" s="334">
        <v>655349.30000000005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105399</v>
      </c>
      <c r="E44" s="334">
        <v>13</v>
      </c>
      <c r="F44" s="334">
        <v>73722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14023</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6</v>
      </c>
      <c r="F50" s="334">
        <v>171156</v>
      </c>
    </row>
    <row r="51" spans="1:6">
      <c r="A51" s="348" t="s">
        <v>42</v>
      </c>
      <c r="B51" s="348" t="s">
        <v>43</v>
      </c>
      <c r="C51" s="334">
        <v>5</v>
      </c>
      <c r="D51" s="334">
        <v>333176</v>
      </c>
      <c r="E51" s="334">
        <v>82</v>
      </c>
      <c r="F51" s="334">
        <v>1243808.8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599493</v>
      </c>
    </row>
    <row r="55" spans="1:6">
      <c r="A55" s="348" t="s">
        <v>46</v>
      </c>
      <c r="B55" s="348" t="s">
        <v>29</v>
      </c>
      <c r="C55" s="334">
        <v>0</v>
      </c>
      <c r="D55" s="334">
        <v>0</v>
      </c>
      <c r="E55" s="334">
        <v>0</v>
      </c>
      <c r="F55" s="334">
        <v>0</v>
      </c>
    </row>
    <row r="56" spans="1:6">
      <c r="A56" s="348" t="s">
        <v>48</v>
      </c>
      <c r="B56" s="348" t="s">
        <v>29</v>
      </c>
      <c r="C56" s="334">
        <v>5</v>
      </c>
      <c r="D56" s="334">
        <v>326418</v>
      </c>
      <c r="E56" s="334">
        <v>6</v>
      </c>
      <c r="F56" s="334">
        <v>82872</v>
      </c>
    </row>
    <row r="57" spans="1:6">
      <c r="A57" s="348" t="s">
        <v>49</v>
      </c>
      <c r="B57" s="348" t="s">
        <v>50</v>
      </c>
      <c r="C57" s="334">
        <v>11</v>
      </c>
      <c r="D57" s="334">
        <v>516471</v>
      </c>
      <c r="E57" s="334">
        <v>55</v>
      </c>
      <c r="F57" s="334">
        <v>809908</v>
      </c>
    </row>
    <row r="58" spans="1:6">
      <c r="A58" s="348" t="s">
        <v>49</v>
      </c>
      <c r="B58" s="348" t="s">
        <v>51</v>
      </c>
      <c r="C58" s="334">
        <v>9</v>
      </c>
      <c r="D58" s="334">
        <v>328393</v>
      </c>
      <c r="E58" s="334">
        <v>20</v>
      </c>
      <c r="F58" s="334">
        <v>324368</v>
      </c>
    </row>
    <row r="59" spans="1:6">
      <c r="A59" s="348" t="s">
        <v>49</v>
      </c>
      <c r="B59" s="348" t="s">
        <v>52</v>
      </c>
      <c r="C59" s="334">
        <v>31</v>
      </c>
      <c r="D59" s="334">
        <v>1686578</v>
      </c>
      <c r="E59" s="334">
        <v>170</v>
      </c>
      <c r="F59" s="334">
        <v>5739777</v>
      </c>
    </row>
    <row r="60" spans="1:6">
      <c r="A60" s="348" t="s">
        <v>49</v>
      </c>
      <c r="B60" s="348" t="s">
        <v>53</v>
      </c>
      <c r="C60" s="334">
        <v>15</v>
      </c>
      <c r="D60" s="334">
        <v>692836</v>
      </c>
      <c r="E60" s="334">
        <v>34</v>
      </c>
      <c r="F60" s="334">
        <v>920259</v>
      </c>
    </row>
    <row r="61" spans="1:6">
      <c r="A61" s="348" t="s">
        <v>49</v>
      </c>
      <c r="B61" s="348" t="s">
        <v>54</v>
      </c>
      <c r="C61" s="334">
        <v>47</v>
      </c>
      <c r="D61" s="334">
        <v>1157653.3999999999</v>
      </c>
      <c r="E61" s="334">
        <v>160</v>
      </c>
      <c r="F61" s="334">
        <v>2445053.4500000002</v>
      </c>
    </row>
    <row r="62" spans="1:6">
      <c r="A62" s="348" t="s">
        <v>49</v>
      </c>
      <c r="B62" s="348" t="s">
        <v>55</v>
      </c>
      <c r="C62" s="334">
        <v>4</v>
      </c>
      <c r="D62" s="334">
        <v>197491</v>
      </c>
      <c r="E62" s="334">
        <v>11</v>
      </c>
      <c r="F62" s="334">
        <v>98838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340134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52257783</v>
      </c>
      <c r="E73" s="476">
        <v>45763084.212742135</v>
      </c>
    </row>
    <row r="74" spans="1:6">
      <c r="A74" s="348" t="s">
        <v>64</v>
      </c>
      <c r="B74" s="348" t="s">
        <v>657</v>
      </c>
      <c r="C74" s="1213" t="s">
        <v>659</v>
      </c>
      <c r="D74" s="476">
        <v>5329770.1906927815</v>
      </c>
      <c r="E74" s="476">
        <v>4954312.503404879</v>
      </c>
    </row>
    <row r="75" spans="1:6">
      <c r="A75" s="348" t="s">
        <v>65</v>
      </c>
      <c r="B75" s="348" t="s">
        <v>656</v>
      </c>
      <c r="C75" s="1213" t="s">
        <v>660</v>
      </c>
      <c r="D75" s="476">
        <v>18372339</v>
      </c>
      <c r="E75" s="476">
        <v>16195074.808968825</v>
      </c>
    </row>
    <row r="76" spans="1:6">
      <c r="A76" s="348" t="s">
        <v>65</v>
      </c>
      <c r="B76" s="348" t="s">
        <v>657</v>
      </c>
      <c r="C76" s="1213" t="s">
        <v>661</v>
      </c>
      <c r="D76" s="476">
        <v>628163.19069278101</v>
      </c>
      <c r="E76" s="476">
        <v>538657.97150892753</v>
      </c>
    </row>
    <row r="77" spans="1:6">
      <c r="A77" s="348" t="s">
        <v>66</v>
      </c>
      <c r="B77" s="348" t="s">
        <v>656</v>
      </c>
      <c r="C77" s="1213" t="s">
        <v>662</v>
      </c>
      <c r="D77" s="476">
        <v>38429289</v>
      </c>
      <c r="E77" s="476">
        <v>40464523.485841855</v>
      </c>
    </row>
    <row r="78" spans="1:6">
      <c r="A78" s="341" t="s">
        <v>66</v>
      </c>
      <c r="B78" s="341" t="s">
        <v>657</v>
      </c>
      <c r="C78" s="341" t="s">
        <v>663</v>
      </c>
      <c r="D78" s="1214">
        <v>3926830</v>
      </c>
      <c r="E78" s="1214">
        <v>4099201.7059531617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606657.61861443787</v>
      </c>
      <c r="C83" s="476">
        <v>607483.18986797659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3152.4855780131879</v>
      </c>
    </row>
    <row r="92" spans="1:6">
      <c r="A92" s="341" t="s">
        <v>69</v>
      </c>
      <c r="B92" s="342">
        <v>481.20015478450466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197</v>
      </c>
    </row>
    <row r="98" spans="1:6">
      <c r="A98" s="348" t="s">
        <v>72</v>
      </c>
      <c r="B98" s="334">
        <v>3</v>
      </c>
    </row>
    <row r="99" spans="1:6">
      <c r="A99" s="348" t="s">
        <v>73</v>
      </c>
      <c r="B99" s="334">
        <v>146</v>
      </c>
    </row>
    <row r="100" spans="1:6">
      <c r="A100" s="348" t="s">
        <v>74</v>
      </c>
      <c r="B100" s="334">
        <v>179</v>
      </c>
    </row>
    <row r="101" spans="1:6">
      <c r="A101" s="348" t="s">
        <v>75</v>
      </c>
      <c r="B101" s="334">
        <v>67</v>
      </c>
    </row>
    <row r="102" spans="1:6">
      <c r="A102" s="348" t="s">
        <v>76</v>
      </c>
      <c r="B102" s="334">
        <v>53</v>
      </c>
    </row>
    <row r="103" spans="1:6">
      <c r="A103" s="348" t="s">
        <v>77</v>
      </c>
      <c r="B103" s="334">
        <v>165</v>
      </c>
    </row>
    <row r="104" spans="1:6">
      <c r="A104" s="348" t="s">
        <v>78</v>
      </c>
      <c r="B104" s="334">
        <v>2944</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31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1</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32303.546411665753</v>
      </c>
      <c r="C3" s="43" t="s">
        <v>170</v>
      </c>
      <c r="D3" s="43"/>
      <c r="E3" s="154"/>
      <c r="F3" s="43"/>
      <c r="G3" s="43"/>
      <c r="H3" s="43"/>
      <c r="I3" s="43"/>
      <c r="J3" s="43"/>
      <c r="K3" s="96"/>
    </row>
    <row r="4" spans="1:11">
      <c r="A4" s="383" t="s">
        <v>171</v>
      </c>
      <c r="B4" s="49">
        <f>IF(ISERROR('SEAP template'!B69),0,'SEAP template'!B69)</f>
        <v>3633.6857327976927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0.19614066917871634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599.49300000000005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599.49300000000005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0.19614066917871634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117.5849581879562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16012.400950000001</v>
      </c>
      <c r="C5" s="17">
        <f>IF(ISERROR('Eigen informatie GS &amp; warmtenet'!B57),0,'Eigen informatie GS &amp; warmtenet'!B57)</f>
        <v>0</v>
      </c>
      <c r="D5" s="30">
        <f>(SUM(HH_hh_gas_kWh,HH_rest_gas_kWh)/1000)*0.902</f>
        <v>18950.679449899999</v>
      </c>
      <c r="E5" s="17">
        <f>B46*B57</f>
        <v>8043.7445138123312</v>
      </c>
      <c r="F5" s="17">
        <f>B51*B62</f>
        <v>50073.124021977193</v>
      </c>
      <c r="G5" s="18"/>
      <c r="H5" s="17"/>
      <c r="I5" s="17"/>
      <c r="J5" s="17">
        <f>B50*B61+C50*C61</f>
        <v>1861.7452638862358</v>
      </c>
      <c r="K5" s="17"/>
      <c r="L5" s="17"/>
      <c r="M5" s="17"/>
      <c r="N5" s="17">
        <f>B48*B59+C48*C59</f>
        <v>12579.775277883198</v>
      </c>
      <c r="O5" s="17">
        <f>B69*B70*B71</f>
        <v>212.61333333333334</v>
      </c>
      <c r="P5" s="17">
        <f>B77*B78*B79/1000-B77*B78*B79/1000/B80</f>
        <v>1010.5333333333333</v>
      </c>
    </row>
    <row r="6" spans="1:16">
      <c r="A6" s="16" t="s">
        <v>621</v>
      </c>
      <c r="B6" s="843">
        <f>kWh_PV_kleiner_dan_10kW</f>
        <v>3152.4855780131879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19164.88652801319</v>
      </c>
      <c r="C8" s="21">
        <f>C5</f>
        <v>0</v>
      </c>
      <c r="D8" s="21">
        <f>D5</f>
        <v>18950.679449899999</v>
      </c>
      <c r="E8" s="21">
        <f>E5</f>
        <v>8043.7445138123312</v>
      </c>
      <c r="F8" s="21">
        <f>F5</f>
        <v>50073.124021977193</v>
      </c>
      <c r="G8" s="21"/>
      <c r="H8" s="21"/>
      <c r="I8" s="21"/>
      <c r="J8" s="21">
        <f>J5</f>
        <v>1861.7452638862358</v>
      </c>
      <c r="K8" s="21"/>
      <c r="L8" s="21">
        <f>L5</f>
        <v>0</v>
      </c>
      <c r="M8" s="21">
        <f>M5</f>
        <v>0</v>
      </c>
      <c r="N8" s="21">
        <f>N5</f>
        <v>12579.775277883198</v>
      </c>
      <c r="O8" s="21">
        <f>O5</f>
        <v>212.61333333333334</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0.19614066917871634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3759.0136683386727</v>
      </c>
      <c r="C12" s="23">
        <f ca="1">C10*C8</f>
        <v>0</v>
      </c>
      <c r="D12" s="23">
        <f>D8*D10</f>
        <v>3828.0372488797998</v>
      </c>
      <c r="E12" s="23">
        <f>E10*E8</f>
        <v>1825.9300046353992</v>
      </c>
      <c r="F12" s="23">
        <f>F10*F8</f>
        <v>13369.524113867912</v>
      </c>
      <c r="G12" s="23"/>
      <c r="H12" s="23"/>
      <c r="I12" s="23"/>
      <c r="J12" s="23">
        <f>J10*J8</f>
        <v>659.0578234157274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197</v>
      </c>
      <c r="C18" s="166" t="s">
        <v>111</v>
      </c>
      <c r="D18" s="228"/>
      <c r="E18" s="15"/>
    </row>
    <row r="19" spans="1:7">
      <c r="A19" s="171" t="s">
        <v>72</v>
      </c>
      <c r="B19" s="37">
        <f>aantalw2001_ander</f>
        <v>3</v>
      </c>
      <c r="C19" s="166" t="s">
        <v>111</v>
      </c>
      <c r="D19" s="229"/>
      <c r="E19" s="15"/>
    </row>
    <row r="20" spans="1:7">
      <c r="A20" s="171" t="s">
        <v>73</v>
      </c>
      <c r="B20" s="37">
        <f>aantalw2001_propaan</f>
        <v>146</v>
      </c>
      <c r="C20" s="167">
        <f>IF(ISERROR(B20/SUM($B$20,$B$21,$B$22)*100),0,B20/SUM($B$20,$B$21,$B$22)*100)</f>
        <v>37.244897959183675</v>
      </c>
      <c r="D20" s="229"/>
      <c r="E20" s="15"/>
    </row>
    <row r="21" spans="1:7">
      <c r="A21" s="171" t="s">
        <v>74</v>
      </c>
      <c r="B21" s="37">
        <f>aantalw2001_elektriciteit</f>
        <v>179</v>
      </c>
      <c r="C21" s="167">
        <f>IF(ISERROR(B21/SUM($B$20,$B$21,$B$22)*100),0,B21/SUM($B$20,$B$21,$B$22)*100)</f>
        <v>45.663265306122447</v>
      </c>
      <c r="D21" s="229"/>
      <c r="E21" s="15"/>
    </row>
    <row r="22" spans="1:7">
      <c r="A22" s="171" t="s">
        <v>75</v>
      </c>
      <c r="B22" s="37">
        <f>aantalw2001_hout</f>
        <v>67</v>
      </c>
      <c r="C22" s="167">
        <f>IF(ISERROR(B22/SUM($B$20,$B$21,$B$22)*100),0,B22/SUM($B$20,$B$21,$B$22)*100)</f>
        <v>17.091836734693878</v>
      </c>
      <c r="D22" s="229"/>
      <c r="E22" s="15"/>
    </row>
    <row r="23" spans="1:7">
      <c r="A23" s="171" t="s">
        <v>76</v>
      </c>
      <c r="B23" s="37">
        <f>aantalw2001_niet_gespec</f>
        <v>53</v>
      </c>
      <c r="C23" s="166" t="s">
        <v>111</v>
      </c>
      <c r="D23" s="228"/>
      <c r="E23" s="15"/>
    </row>
    <row r="24" spans="1:7">
      <c r="A24" s="171" t="s">
        <v>77</v>
      </c>
      <c r="B24" s="37">
        <f>aantalw2001_steenkool</f>
        <v>165</v>
      </c>
      <c r="C24" s="166" t="s">
        <v>111</v>
      </c>
      <c r="D24" s="229"/>
      <c r="E24" s="15"/>
    </row>
    <row r="25" spans="1:7">
      <c r="A25" s="171" t="s">
        <v>78</v>
      </c>
      <c r="B25" s="37">
        <f>aantalw2001_stookolie</f>
        <v>2944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4379</v>
      </c>
      <c r="C28" s="36"/>
      <c r="D28" s="228"/>
    </row>
    <row r="29" spans="1:7" s="15" customFormat="1">
      <c r="A29" s="230" t="s">
        <v>795</v>
      </c>
      <c r="B29" s="37">
        <f>SUM(HH_hh_gas_aantal,HH_rest_gas_aantal)</f>
        <v>1319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1319</v>
      </c>
      <c r="C32" s="167">
        <f>IF(ISERROR(B32/SUM($B$32,$B$34,$B$35,$B$36,$B$38,$B$39)*100),0,B32/SUM($B$32,$B$34,$B$35,$B$36,$B$38,$B$39)*100)</f>
        <v>30.490060101710586</v>
      </c>
      <c r="D32" s="233"/>
      <c r="G32" s="15"/>
    </row>
    <row r="33" spans="1:7">
      <c r="A33" s="171" t="s">
        <v>72</v>
      </c>
      <c r="B33" s="34" t="s">
        <v>111</v>
      </c>
      <c r="C33" s="167"/>
      <c r="D33" s="233"/>
      <c r="G33" s="15"/>
    </row>
    <row r="34" spans="1:7">
      <c r="A34" s="171" t="s">
        <v>73</v>
      </c>
      <c r="B34" s="33">
        <f>IF((($B$28-$B$32-$B$39-$B$77-$B$38)*C20/100)&lt;0,0,($B$28-$B$32-$B$39-$B$77-$B$38)*C20/100)</f>
        <v>379.89795918367361</v>
      </c>
      <c r="C34" s="167">
        <f>IF(ISERROR(B34/SUM($B$32,$B$34,$B$35,$B$36,$B$38,$B$39)*100),0,B34/SUM($B$32,$B$34,$B$35,$B$36,$B$38,$B$39)*100)</f>
        <v>8.7817373828865843</v>
      </c>
      <c r="D34" s="233"/>
      <c r="G34" s="15"/>
    </row>
    <row r="35" spans="1:7">
      <c r="A35" s="171" t="s">
        <v>74</v>
      </c>
      <c r="B35" s="33">
        <f>IF((($B$28-$B$32-$B$39-$B$77-$B$38)*C21/100)&lt;0,0,($B$28-$B$32-$B$39-$B$77-$B$38)*C21/100)</f>
        <v>465.76530612244903</v>
      </c>
      <c r="C35" s="167">
        <f>IF(ISERROR(B35/SUM($B$32,$B$34,$B$35,$B$36,$B$38,$B$39)*100),0,B35/SUM($B$32,$B$34,$B$35,$B$36,$B$38,$B$39)*100)</f>
        <v>10.766650626963685</v>
      </c>
      <c r="D35" s="233"/>
      <c r="G35" s="15"/>
    </row>
    <row r="36" spans="1:7">
      <c r="A36" s="171" t="s">
        <v>75</v>
      </c>
      <c r="B36" s="33">
        <f>IF((($B$28-$B$32-$B$39-$B$77-$B$38)*C22/100)&lt;0,0,($B$28-$B$32-$B$39-$B$77-$B$38)*C22/100)</f>
        <v>174.33673469387759</v>
      </c>
      <c r="C36" s="167">
        <f>IF(ISERROR(B36/SUM($B$32,$B$34,$B$35,$B$36,$B$38,$B$39)*100),0,B36/SUM($B$32,$B$34,$B$35,$B$36,$B$38,$B$39)*100)</f>
        <v>4.0299753743383633</v>
      </c>
      <c r="D36" s="233"/>
      <c r="G36" s="15"/>
    </row>
    <row r="37" spans="1:7">
      <c r="A37" s="171" t="s">
        <v>76</v>
      </c>
      <c r="B37" s="34" t="s">
        <v>111</v>
      </c>
      <c r="C37" s="167"/>
      <c r="D37" s="173"/>
      <c r="G37" s="15"/>
    </row>
    <row r="38" spans="1:7">
      <c r="A38" s="171" t="s">
        <v>77</v>
      </c>
      <c r="B38" s="33">
        <f>IF((B24-(B29-B18)*0.1)&lt;0,0,B24-(B29-B18)*0.1)</f>
        <v>52.8</v>
      </c>
      <c r="C38" s="167">
        <f>IF(ISERROR(B38/SUM($B$32,$B$34,$B$35,$B$36,$B$38,$B$39)*100),0,B38/SUM($B$32,$B$34,$B$35,$B$36,$B$38,$B$39)*100)</f>
        <v>1.2205270457697641</v>
      </c>
      <c r="D38" s="234"/>
      <c r="G38" s="15"/>
    </row>
    <row r="39" spans="1:7">
      <c r="A39" s="171" t="s">
        <v>78</v>
      </c>
      <c r="B39" s="33">
        <f>IF((B25-(B29-B18))&lt;0,0,B25-(B29-B18)*0.9)</f>
        <v>1934.1999999999998</v>
      </c>
      <c r="C39" s="167">
        <f>IF(ISERROR(B39/SUM($B$32,$B$34,$B$35,$B$36,$B$38,$B$39)*100),0,B39/SUM($B$32,$B$34,$B$35,$B$36,$B$38,$B$39)*100)</f>
        <v>44.711049468331012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1319</v>
      </c>
      <c r="C44" s="34" t="s">
        <v>111</v>
      </c>
      <c r="D44" s="174"/>
    </row>
    <row r="45" spans="1:7">
      <c r="A45" s="171" t="s">
        <v>72</v>
      </c>
      <c r="B45" s="33" t="str">
        <f t="shared" si="0"/>
        <v>-</v>
      </c>
      <c r="C45" s="34" t="s">
        <v>111</v>
      </c>
      <c r="D45" s="174"/>
    </row>
    <row r="46" spans="1:7">
      <c r="A46" s="171" t="s">
        <v>73</v>
      </c>
      <c r="B46" s="33">
        <f t="shared" si="0"/>
        <v>379.89795918367361</v>
      </c>
      <c r="C46" s="34" t="s">
        <v>111</v>
      </c>
      <c r="D46" s="174"/>
    </row>
    <row r="47" spans="1:7">
      <c r="A47" s="171" t="s">
        <v>74</v>
      </c>
      <c r="B47" s="33">
        <f t="shared" si="0"/>
        <v>465.76530612244903</v>
      </c>
      <c r="C47" s="34" t="s">
        <v>111</v>
      </c>
      <c r="D47" s="174"/>
    </row>
    <row r="48" spans="1:7">
      <c r="A48" s="171" t="s">
        <v>75</v>
      </c>
      <c r="B48" s="33">
        <f t="shared" si="0"/>
        <v>174.33673469387759</v>
      </c>
      <c r="C48" s="33">
        <f>B48*10</f>
        <v>1743.3673469387759</v>
      </c>
      <c r="D48" s="234"/>
    </row>
    <row r="49" spans="1:6">
      <c r="A49" s="171" t="s">
        <v>76</v>
      </c>
      <c r="B49" s="33" t="str">
        <f t="shared" si="0"/>
        <v>-</v>
      </c>
      <c r="C49" s="34" t="s">
        <v>111</v>
      </c>
      <c r="D49" s="234"/>
    </row>
    <row r="50" spans="1:6">
      <c r="A50" s="171" t="s">
        <v>77</v>
      </c>
      <c r="B50" s="33">
        <f t="shared" si="0"/>
        <v>52.8</v>
      </c>
      <c r="C50" s="33">
        <f>B50*2</f>
        <v>105.6</v>
      </c>
      <c r="D50" s="234"/>
    </row>
    <row r="51" spans="1:6">
      <c r="A51" s="171" t="s">
        <v>78</v>
      </c>
      <c r="B51" s="33">
        <f t="shared" si="0"/>
        <v>1934.1999999999998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10338.203449999999</v>
      </c>
      <c r="C5" s="17">
        <f>IF(ISERROR('Eigen informatie GS &amp; warmtenet'!B58),0,'Eigen informatie GS &amp; warmtenet'!B58)</f>
        <v>0</v>
      </c>
      <c r="D5" s="30">
        <f>SUM(D6:D12)</f>
        <v>4130.6390048000003</v>
      </c>
      <c r="E5" s="17">
        <f>SUM(E6:E12)</f>
        <v>223.85128062873301</v>
      </c>
      <c r="F5" s="17">
        <f>SUM(F6:F12)</f>
        <v>1866.9093111460991</v>
      </c>
      <c r="G5" s="18"/>
      <c r="H5" s="17"/>
      <c r="I5" s="17"/>
      <c r="J5" s="17">
        <f>SUM(J6:J12)</f>
        <v>1.7579927928301115E-2</v>
      </c>
      <c r="K5" s="17"/>
      <c r="L5" s="17"/>
      <c r="M5" s="17"/>
      <c r="N5" s="17">
        <f>SUM(N6:N12)</f>
        <v>703.60334568627343</v>
      </c>
      <c r="O5" s="17">
        <f>B38*B39*B40</f>
        <v>1.5633333333333335</v>
      </c>
      <c r="P5" s="17">
        <f>B46*B47*B48/1000-B46*B47*B48/1000/B49</f>
        <v>0</v>
      </c>
      <c r="R5" s="32"/>
    </row>
    <row r="6" spans="1:18">
      <c r="A6" s="32" t="s">
        <v>54</v>
      </c>
      <c r="B6" s="37">
        <f>B26</f>
        <v>2445.0534500000003</v>
      </c>
      <c r="C6" s="33"/>
      <c r="D6" s="37">
        <f>IF(ISERROR(TER_kantoor_gas_kWh/1000),0,TER_kantoor_gas_kWh/1000)*0.902</f>
        <v>1044.2033667999999</v>
      </c>
      <c r="E6" s="33">
        <f>$C$26*'E Balans VL '!I12/100/3.6*1000000</f>
        <v>1.5324781812562643E-2</v>
      </c>
      <c r="F6" s="33">
        <f>$C$26*('E Balans VL '!L12+'E Balans VL '!N12)/100/3.6*1000000</f>
        <v>367.42321222554665</v>
      </c>
      <c r="G6" s="34"/>
      <c r="H6" s="33"/>
      <c r="I6" s="33"/>
      <c r="J6" s="33">
        <f>$C$26*('E Balans VL '!D12+'E Balans VL '!E12)/100/3.6*1000000</f>
        <v>0</v>
      </c>
      <c r="K6" s="33"/>
      <c r="L6" s="33"/>
      <c r="M6" s="33"/>
      <c r="N6" s="33">
        <f>$C$26*'E Balans VL '!Y12/100/3.6*1000000</f>
        <v>2.3383311059666969</v>
      </c>
      <c r="O6" s="33"/>
      <c r="P6" s="33"/>
      <c r="R6" s="32"/>
    </row>
    <row r="7" spans="1:18">
      <c r="A7" s="32" t="s">
        <v>53</v>
      </c>
      <c r="B7" s="37">
        <f t="shared" ref="B7:B12" si="0">B27</f>
        <v>920.25900000000001</v>
      </c>
      <c r="C7" s="33"/>
      <c r="D7" s="37">
        <f>IF(ISERROR(TER_horeca_gas_kWh/1000),0,TER_horeca_gas_kWh/1000)*0.902</f>
        <v>624.93807200000003</v>
      </c>
      <c r="E7" s="33">
        <f>$C$27*'E Balans VL '!I9/100/3.6*1000000</f>
        <v>13.177955594112587</v>
      </c>
      <c r="F7" s="33">
        <f>$C$27*('E Balans VL '!L9+'E Balans VL '!N9)/100/3.6*1000000</f>
        <v>116.53514071113051</v>
      </c>
      <c r="G7" s="34"/>
      <c r="H7" s="33"/>
      <c r="I7" s="33"/>
      <c r="J7" s="33">
        <f>$C$27*('E Balans VL '!D9+'E Balans VL '!E9)/100/3.6*1000000</f>
        <v>0</v>
      </c>
      <c r="K7" s="33"/>
      <c r="L7" s="33"/>
      <c r="M7" s="33"/>
      <c r="N7" s="33">
        <f>$C$27*'E Balans VL '!Y9/100/3.6*1000000</f>
        <v>0.26455417253073421</v>
      </c>
      <c r="O7" s="33"/>
      <c r="P7" s="33"/>
      <c r="R7" s="32"/>
    </row>
    <row r="8" spans="1:18">
      <c r="A8" s="6" t="s">
        <v>52</v>
      </c>
      <c r="B8" s="37">
        <f t="shared" si="0"/>
        <v>5739.777</v>
      </c>
      <c r="C8" s="33"/>
      <c r="D8" s="37">
        <f>IF(ISERROR(TER_handel_gas_kWh/1000),0,TER_handel_gas_kWh/1000)*0.902</f>
        <v>1521.2933560000001</v>
      </c>
      <c r="E8" s="33">
        <f>$C$28*'E Balans VL '!I13/100/3.6*1000000</f>
        <v>208.18100399241084</v>
      </c>
      <c r="F8" s="33">
        <f>$C$28*('E Balans VL '!L13+'E Balans VL '!N13)/100/3.6*1000000</f>
        <v>1105.5391691372117</v>
      </c>
      <c r="G8" s="34"/>
      <c r="H8" s="33"/>
      <c r="I8" s="33"/>
      <c r="J8" s="33">
        <f>$C$28*('E Balans VL '!D13+'E Balans VL '!E13)/100/3.6*1000000</f>
        <v>0</v>
      </c>
      <c r="K8" s="33"/>
      <c r="L8" s="33"/>
      <c r="M8" s="33"/>
      <c r="N8" s="33">
        <f>$C$28*'E Balans VL '!Y13/100/3.6*1000000</f>
        <v>7.9509118087878621</v>
      </c>
      <c r="O8" s="33"/>
      <c r="P8" s="33"/>
      <c r="R8" s="32"/>
    </row>
    <row r="9" spans="1:18">
      <c r="A9" s="32" t="s">
        <v>51</v>
      </c>
      <c r="B9" s="37">
        <f t="shared" si="0"/>
        <v>324.36799999999999</v>
      </c>
      <c r="C9" s="33"/>
      <c r="D9" s="37">
        <f>IF(ISERROR(TER_gezond_gas_kWh/1000),0,TER_gezond_gas_kWh/1000)*0.902</f>
        <v>296.210486</v>
      </c>
      <c r="E9" s="33">
        <f>$C$29*'E Balans VL '!I10/100/3.6*1000000</f>
        <v>2.0308639355424905E-2</v>
      </c>
      <c r="F9" s="33">
        <f>$C$29*('E Balans VL '!L10+'E Balans VL '!N10)/100/3.6*1000000</f>
        <v>48.185854006505323</v>
      </c>
      <c r="G9" s="34"/>
      <c r="H9" s="33"/>
      <c r="I9" s="33"/>
      <c r="J9" s="33">
        <f>$C$29*('E Balans VL '!D10+'E Balans VL '!E10)/100/3.6*1000000</f>
        <v>0</v>
      </c>
      <c r="K9" s="33"/>
      <c r="L9" s="33"/>
      <c r="M9" s="33"/>
      <c r="N9" s="33">
        <f>$C$29*'E Balans VL '!Y10/100/3.6*1000000</f>
        <v>5.0173555228365698</v>
      </c>
      <c r="O9" s="33"/>
      <c r="P9" s="33"/>
      <c r="R9" s="32"/>
    </row>
    <row r="10" spans="1:18">
      <c r="A10" s="32" t="s">
        <v>50</v>
      </c>
      <c r="B10" s="37">
        <f t="shared" si="0"/>
        <v>809.90800000000002</v>
      </c>
      <c r="C10" s="33"/>
      <c r="D10" s="37">
        <f>IF(ISERROR(TER_ander_gas_kWh/1000),0,TER_ander_gas_kWh/1000)*0.902</f>
        <v>465.85684200000003</v>
      </c>
      <c r="E10" s="33">
        <f>$C$30*'E Balans VL '!I14/100/3.6*1000000</f>
        <v>0.96538139477828733</v>
      </c>
      <c r="F10" s="33">
        <f>$C$30*('E Balans VL '!L14+'E Balans VL '!N14)/100/3.6*1000000</f>
        <v>211.90793848168065</v>
      </c>
      <c r="G10" s="34"/>
      <c r="H10" s="33"/>
      <c r="I10" s="33"/>
      <c r="J10" s="33">
        <f>$C$30*('E Balans VL '!D14+'E Balans VL '!E14)/100/3.6*1000000</f>
        <v>1.7579927928301115E-2</v>
      </c>
      <c r="K10" s="33"/>
      <c r="L10" s="33"/>
      <c r="M10" s="33"/>
      <c r="N10" s="33">
        <f>$C$30*'E Balans VL '!Y14/100/3.6*1000000</f>
        <v>687.75405543020065</v>
      </c>
      <c r="O10" s="33"/>
      <c r="P10" s="33"/>
      <c r="R10" s="32"/>
    </row>
    <row r="11" spans="1:18">
      <c r="A11" s="32" t="s">
        <v>55</v>
      </c>
      <c r="B11" s="37">
        <f t="shared" si="0"/>
        <v>98.837999999999994</v>
      </c>
      <c r="C11" s="33"/>
      <c r="D11" s="37">
        <f>IF(ISERROR(TER_onderwijs_gas_kWh/1000),0,TER_onderwijs_gas_kWh/1000)*0.902</f>
        <v>178.13688200000001</v>
      </c>
      <c r="E11" s="33">
        <f>$C$31*'E Balans VL '!I11/100/3.6*1000000</f>
        <v>1.4913062262633165</v>
      </c>
      <c r="F11" s="33">
        <f>$C$31*('E Balans VL '!L11+'E Balans VL '!N11)/100/3.6*1000000</f>
        <v>17.317996584024247</v>
      </c>
      <c r="G11" s="34"/>
      <c r="H11" s="33"/>
      <c r="I11" s="33"/>
      <c r="J11" s="33">
        <f>$C$31*('E Balans VL '!D11+'E Balans VL '!E11)/100/3.6*1000000</f>
        <v>0</v>
      </c>
      <c r="K11" s="33"/>
      <c r="L11" s="33"/>
      <c r="M11" s="33"/>
      <c r="N11" s="33">
        <f>$C$31*'E Balans VL '!Y11/100/3.6*1000000</f>
        <v>0.27813764595090534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10338.203449999999</v>
      </c>
      <c r="C16" s="21">
        <f t="shared" ca="1" si="1"/>
        <v>0</v>
      </c>
      <c r="D16" s="21">
        <f t="shared" ca="1" si="1"/>
        <v>4130.6390048000003</v>
      </c>
      <c r="E16" s="21">
        <f t="shared" si="1"/>
        <v>223.85128062873301</v>
      </c>
      <c r="F16" s="21">
        <f t="shared" ca="1" si="1"/>
        <v>1866.9093111460991</v>
      </c>
      <c r="G16" s="21">
        <f t="shared" si="1"/>
        <v>0</v>
      </c>
      <c r="H16" s="21">
        <f t="shared" si="1"/>
        <v>0</v>
      </c>
      <c r="I16" s="21">
        <f t="shared" si="1"/>
        <v>0</v>
      </c>
      <c r="J16" s="21">
        <f t="shared" si="1"/>
        <v>1.7579927928301115E-2</v>
      </c>
      <c r="K16" s="21">
        <f t="shared" si="1"/>
        <v>0</v>
      </c>
      <c r="L16" s="21">
        <f t="shared" ca="1" si="1"/>
        <v>0</v>
      </c>
      <c r="M16" s="21">
        <f t="shared" si="1"/>
        <v>0</v>
      </c>
      <c r="N16" s="21">
        <f t="shared" ca="1" si="1"/>
        <v>703.60334568627343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0.19614066917871634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2027.7421427887136</v>
      </c>
      <c r="C20" s="23">
        <f t="shared" ref="C20:P20" ca="1" si="2">C16*C18</f>
        <v>0</v>
      </c>
      <c r="D20" s="23">
        <f t="shared" ca="1" si="2"/>
        <v>834.38907896960006</v>
      </c>
      <c r="E20" s="23">
        <f t="shared" si="2"/>
        <v>50.814240702722394</v>
      </c>
      <c r="F20" s="23">
        <f t="shared" ca="1" si="2"/>
        <v>498.46478607600847</v>
      </c>
      <c r="G20" s="23">
        <f t="shared" si="2"/>
        <v>0</v>
      </c>
      <c r="H20" s="23">
        <f t="shared" si="2"/>
        <v>0</v>
      </c>
      <c r="I20" s="23">
        <f t="shared" si="2"/>
        <v>0</v>
      </c>
      <c r="J20" s="23">
        <f t="shared" si="2"/>
        <v>6.2232944866185943E-3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2445.0534500000003</v>
      </c>
      <c r="C26" s="39">
        <f>IF(ISERROR(B26*3.6/1000000/'E Balans VL '!Z12*100),0,B26*3.6/1000000/'E Balans VL '!Z12*100)</f>
        <v>5.1684556655470941E-2</v>
      </c>
      <c r="D26" s="237" t="s">
        <v>754</v>
      </c>
      <c r="F26" s="6"/>
    </row>
    <row r="27" spans="1:18">
      <c r="A27" s="231" t="s">
        <v>53</v>
      </c>
      <c r="B27" s="33">
        <f>IF(ISERROR(TER_horeca_ele_kWh/1000),0,TER_horeca_ele_kWh/1000)</f>
        <v>920.25900000000001</v>
      </c>
      <c r="C27" s="39">
        <f>IF(ISERROR(B27*3.6/1000000/'E Balans VL '!Z9*100),0,B27*3.6/1000000/'E Balans VL '!Z9*100)</f>
        <v>7.2543673971960029E-2</v>
      </c>
      <c r="D27" s="237" t="s">
        <v>754</v>
      </c>
      <c r="F27" s="6"/>
    </row>
    <row r="28" spans="1:18">
      <c r="A28" s="171" t="s">
        <v>52</v>
      </c>
      <c r="B28" s="33">
        <f>IF(ISERROR(TER_handel_ele_kWh/1000),0,TER_handel_ele_kWh/1000)</f>
        <v>5739.777</v>
      </c>
      <c r="C28" s="39">
        <f>IF(ISERROR(B28*3.6/1000000/'E Balans VL '!Z13*100),0,B28*3.6/1000000/'E Balans VL '!Z13*100)</f>
        <v>0.16659151983780651</v>
      </c>
      <c r="D28" s="237" t="s">
        <v>754</v>
      </c>
      <c r="F28" s="6"/>
    </row>
    <row r="29" spans="1:18">
      <c r="A29" s="231" t="s">
        <v>51</v>
      </c>
      <c r="B29" s="33">
        <f>IF(ISERROR(TER_gezond_ele_kWh/1000),0,TER_gezond_ele_kWh/1000)</f>
        <v>324.36799999999999</v>
      </c>
      <c r="C29" s="39">
        <f>IF(ISERROR(B29*3.6/1000000/'E Balans VL '!Z10*100),0,B29*3.6/1000000/'E Balans VL '!Z10*100)</f>
        <v>3.4161276663152759E-2</v>
      </c>
      <c r="D29" s="237" t="s">
        <v>754</v>
      </c>
      <c r="F29" s="6"/>
    </row>
    <row r="30" spans="1:18">
      <c r="A30" s="231" t="s">
        <v>50</v>
      </c>
      <c r="B30" s="33">
        <f>IF(ISERROR(TER_ander_ele_kWh/1000),0,TER_ander_ele_kWh/1000)</f>
        <v>809.90800000000002</v>
      </c>
      <c r="C30" s="39">
        <f>IF(ISERROR(B30*3.6/1000000/'E Balans VL '!Z14*100),0,B30*3.6/1000000/'E Balans VL '!Z14*100)</f>
        <v>5.9738989991142556E-2</v>
      </c>
      <c r="D30" s="237" t="s">
        <v>754</v>
      </c>
      <c r="F30" s="6"/>
    </row>
    <row r="31" spans="1:18">
      <c r="A31" s="231" t="s">
        <v>55</v>
      </c>
      <c r="B31" s="33">
        <f>IF(ISERROR(TER_onderwijs_ele_kWh/1000),0,TER_onderwijs_ele_kWh/1000)</f>
        <v>98.837999999999994</v>
      </c>
      <c r="C31" s="39">
        <f>IF(ISERROR(B31*3.6/1000000/'E Balans VL '!Z11*100),0,B31*3.6/1000000/'E Balans VL '!Z11*100)</f>
        <v>2.4546105244581087E-2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914.25030000000004</v>
      </c>
      <c r="C5" s="17">
        <f>IF(ISERROR('Eigen informatie GS &amp; warmtenet'!B59),0,'Eigen informatie GS &amp; warmtenet'!B59)</f>
        <v>0</v>
      </c>
      <c r="D5" s="30">
        <f>SUM(D6:D15)</f>
        <v>442.598772</v>
      </c>
      <c r="E5" s="17">
        <f>SUM(E6:E15)</f>
        <v>192.63113972644166</v>
      </c>
      <c r="F5" s="17">
        <f>SUM(F6:F15)</f>
        <v>544.76006455074946</v>
      </c>
      <c r="G5" s="18"/>
      <c r="H5" s="17"/>
      <c r="I5" s="17"/>
      <c r="J5" s="17">
        <f>SUM(J6:J15)</f>
        <v>2.168788605946778E-3</v>
      </c>
      <c r="K5" s="17"/>
      <c r="L5" s="17"/>
      <c r="M5" s="17"/>
      <c r="N5" s="17">
        <f>SUM(N6:N15)</f>
        <v>270.16233316434329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73.721999999999994</v>
      </c>
      <c r="C8" s="33"/>
      <c r="D8" s="37">
        <f>IF( ISERROR(IND_metaal_Gas_kWH/1000),0,IND_metaal_Gas_kWH/1000)*0.902</f>
        <v>95.069898000000009</v>
      </c>
      <c r="E8" s="33">
        <f>C30*'E Balans VL '!I18/100/3.6*1000000</f>
        <v>0.67780258861527276</v>
      </c>
      <c r="F8" s="33">
        <f>C30*'E Balans VL '!L18/100/3.6*1000000+C30*'E Balans VL '!N18/100/3.6*1000000</f>
        <v>6.9126691461689305</v>
      </c>
      <c r="G8" s="34"/>
      <c r="H8" s="33"/>
      <c r="I8" s="33"/>
      <c r="J8" s="40">
        <f>C30*'E Balans VL '!D18/100/3.6*1000000+C30*'E Balans VL '!E18/100/3.6*1000000</f>
        <v>0</v>
      </c>
      <c r="K8" s="33"/>
      <c r="L8" s="33"/>
      <c r="M8" s="33"/>
      <c r="N8" s="33">
        <f>C30*'E Balans VL '!Y18/100/3.6*1000000</f>
        <v>1.0517661607354198</v>
      </c>
      <c r="O8" s="33"/>
      <c r="P8" s="33"/>
      <c r="R8" s="32"/>
    </row>
    <row r="9" spans="1:18">
      <c r="A9" s="6" t="s">
        <v>33</v>
      </c>
      <c r="B9" s="37">
        <f t="shared" si="0"/>
        <v>655.34930000000008</v>
      </c>
      <c r="C9" s="33"/>
      <c r="D9" s="37">
        <f>IF( ISERROR(IND_andere_gas_kWh/1000),0,IND_andere_gas_kWh/1000)*0.902</f>
        <v>347.52887399999997</v>
      </c>
      <c r="E9" s="33">
        <f>C31*'E Balans VL '!I19/100/3.6*1000000</f>
        <v>191.57135853605638</v>
      </c>
      <c r="F9" s="33">
        <f>C31*'E Balans VL '!L19/100/3.6*1000000+C31*'E Balans VL '!N19/100/3.6*1000000</f>
        <v>526.62276793397359</v>
      </c>
      <c r="G9" s="34"/>
      <c r="H9" s="33"/>
      <c r="I9" s="33"/>
      <c r="J9" s="40">
        <f>C31*'E Balans VL '!D19/100/3.6*1000000+C31*'E Balans VL '!E19/100/3.6*1000000</f>
        <v>0</v>
      </c>
      <c r="K9" s="33"/>
      <c r="L9" s="33"/>
      <c r="M9" s="33"/>
      <c r="N9" s="33">
        <f>C31*'E Balans VL '!Y19/100/3.6*1000000</f>
        <v>216.53757246703276</v>
      </c>
      <c r="O9" s="33"/>
      <c r="P9" s="33"/>
      <c r="R9" s="32"/>
    </row>
    <row r="10" spans="1:18">
      <c r="A10" s="6" t="s">
        <v>41</v>
      </c>
      <c r="B10" s="37">
        <f t="shared" si="0"/>
        <v>171.15600000000001</v>
      </c>
      <c r="C10" s="33"/>
      <c r="D10" s="37">
        <f>IF( ISERROR(IND_voed_gas_kWh/1000),0,IND_voed_gas_kWh/1000)*0.902</f>
        <v>0</v>
      </c>
      <c r="E10" s="33">
        <f>C32*'E Balans VL '!I20/100/3.6*1000000</f>
        <v>0.36208317180521132</v>
      </c>
      <c r="F10" s="33">
        <f>C32*'E Balans VL '!L20/100/3.6*1000000+C32*'E Balans VL '!N20/100/3.6*1000000</f>
        <v>10.882273310727166</v>
      </c>
      <c r="G10" s="34"/>
      <c r="H10" s="33"/>
      <c r="I10" s="33"/>
      <c r="J10" s="40">
        <f>C32*'E Balans VL '!D20/100/3.6*1000000+C32*'E Balans VL '!E20/100/3.6*1000000</f>
        <v>0</v>
      </c>
      <c r="K10" s="33"/>
      <c r="L10" s="33"/>
      <c r="M10" s="33"/>
      <c r="N10" s="33">
        <f>C32*'E Balans VL '!Y20/100/3.6*1000000</f>
        <v>11.811453008678221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14.023</v>
      </c>
      <c r="C13" s="33"/>
      <c r="D13" s="37">
        <f>IF( ISERROR(IND_papier_gas_kWh/1000),0,IND_papier_gas_kWh/1000)*0.902</f>
        <v>0</v>
      </c>
      <c r="E13" s="33">
        <f>C35*'E Balans VL '!I23/100/3.6*1000000</f>
        <v>1.9895429964796152E-2</v>
      </c>
      <c r="F13" s="33">
        <f>C35*'E Balans VL '!L23/100/3.6*1000000+C35*'E Balans VL '!N23/100/3.6*1000000</f>
        <v>0.34235415987972784</v>
      </c>
      <c r="G13" s="34"/>
      <c r="H13" s="33"/>
      <c r="I13" s="33"/>
      <c r="J13" s="40">
        <f>C35*'E Balans VL '!D23/100/3.6*1000000+C35*'E Balans VL '!E23/100/3.6*1000000</f>
        <v>2.168788605946778E-3</v>
      </c>
      <c r="K13" s="33"/>
      <c r="L13" s="33"/>
      <c r="M13" s="33"/>
      <c r="N13" s="33">
        <f>C35*'E Balans VL '!Y23/100/3.6*1000000</f>
        <v>40.761541527896881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914.25030000000004</v>
      </c>
      <c r="C18" s="21">
        <f>C5+C16</f>
        <v>0</v>
      </c>
      <c r="D18" s="21">
        <f>MAX((D5+D16),0)</f>
        <v>442.598772</v>
      </c>
      <c r="E18" s="21">
        <f>MAX((E5+E16),0)</f>
        <v>192.63113972644166</v>
      </c>
      <c r="F18" s="21">
        <f>MAX((F5+F16),0)</f>
        <v>544.76006455074946</v>
      </c>
      <c r="G18" s="21"/>
      <c r="H18" s="21"/>
      <c r="I18" s="21"/>
      <c r="J18" s="21">
        <f>MAX((J5+J16),0)</f>
        <v>2.168788605946778E-3</v>
      </c>
      <c r="K18" s="21"/>
      <c r="L18" s="21">
        <f>MAX((L5+L16),0)</f>
        <v>0</v>
      </c>
      <c r="M18" s="21"/>
      <c r="N18" s="21">
        <f>MAX((N5+N16),0)</f>
        <v>270.16233316434329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0.19614066917871634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179.32166563884218</v>
      </c>
      <c r="C22" s="23">
        <f ca="1">C18*C20</f>
        <v>0</v>
      </c>
      <c r="D22" s="23">
        <f>D18*D20</f>
        <v>89.404951944000004</v>
      </c>
      <c r="E22" s="23">
        <f>E18*E20</f>
        <v>43.727268717902255</v>
      </c>
      <c r="F22" s="23">
        <f>F18*F20</f>
        <v>145.45093723505011</v>
      </c>
      <c r="G22" s="23"/>
      <c r="H22" s="23"/>
      <c r="I22" s="23"/>
      <c r="J22" s="23">
        <f>J18*J20</f>
        <v>7.6775116650515938E-4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73.721999999999994</v>
      </c>
      <c r="C30" s="39">
        <f>IF(ISERROR(B30*3.6/1000000/'E Balans VL '!Z18*100),0,B30*3.6/1000000/'E Balans VL '!Z18*100)</f>
        <v>4.178014775571841E-3</v>
      </c>
      <c r="D30" s="237" t="s">
        <v>754</v>
      </c>
    </row>
    <row r="31" spans="1:18">
      <c r="A31" s="6" t="s">
        <v>33</v>
      </c>
      <c r="B31" s="37">
        <f>IF( ISERROR(IND_ander_ele_kWh/1000),0,IND_ander_ele_kWh/1000)</f>
        <v>655.34930000000008</v>
      </c>
      <c r="C31" s="39">
        <f>IF(ISERROR(B31*3.6/1000000/'E Balans VL '!Z19*100),0,B31*3.6/1000000/'E Balans VL '!Z19*100)</f>
        <v>2.97239154210092E-2</v>
      </c>
      <c r="D31" s="237" t="s">
        <v>754</v>
      </c>
    </row>
    <row r="32" spans="1:18">
      <c r="A32" s="171" t="s">
        <v>41</v>
      </c>
      <c r="B32" s="37">
        <f>IF( ISERROR(IND_voed_ele_kWh/1000),0,IND_voed_ele_kWh/1000)</f>
        <v>171.15600000000001</v>
      </c>
      <c r="C32" s="39">
        <f>IF(ISERROR(B32*3.6/1000000/'E Balans VL '!Z20*100),0,B32*3.6/1000000/'E Balans VL '!Z20*100)</f>
        <v>5.2946320626350877E-3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14.023</v>
      </c>
      <c r="C35" s="39">
        <f>IF(ISERROR(B35*3.6/1000000/'E Balans VL '!Z22*100),0,B35*3.6/1000000/'E Balans VL '!Z22*100)</f>
        <v>2.5223001874387953E-3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1243.8088</v>
      </c>
      <c r="C5" s="17">
        <f>'Eigen informatie GS &amp; warmtenet'!B60</f>
        <v>0</v>
      </c>
      <c r="D5" s="30">
        <f>IF(ISERROR(SUM(LB_lb_gas_kWh,LB_rest_gas_kWh,onbekend_gas_kWh)/1000),0,SUM(LB_lb_gas_kWh,LB_rest_gas_kWh,onbekend_gas_kWh)/1000)*0.902</f>
        <v>300.52475199999998</v>
      </c>
      <c r="E5" s="17">
        <f>B17*'E Balans VL '!I25/3.6*1000000/100</f>
        <v>36.559339662565009</v>
      </c>
      <c r="F5" s="17">
        <f>B17*('E Balans VL '!L25/3.6*1000000+'E Balans VL '!N25/3.6*1000000)/100</f>
        <v>5181.6402489002448</v>
      </c>
      <c r="G5" s="18"/>
      <c r="H5" s="17"/>
      <c r="I5" s="17"/>
      <c r="J5" s="17">
        <f>('E Balans VL '!D25+'E Balans VL '!E25)/3.6*1000000*landbouw!B17/100</f>
        <v>180.20118402026105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1243.8088</v>
      </c>
      <c r="C8" s="21">
        <f>C5+C6</f>
        <v>0</v>
      </c>
      <c r="D8" s="21">
        <f>MAX((D5+D6),0)</f>
        <v>300.52475199999998</v>
      </c>
      <c r="E8" s="21">
        <f>MAX((E5+E6),0)</f>
        <v>36.559339662565009</v>
      </c>
      <c r="F8" s="21">
        <f>MAX((F5+F6),0)</f>
        <v>5181.6402489002448</v>
      </c>
      <c r="G8" s="21"/>
      <c r="H8" s="21"/>
      <c r="I8" s="21"/>
      <c r="J8" s="21">
        <f>MAX((J5+J6),0)</f>
        <v>180.20118402026105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0.19614066917871634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243.96149036237617</v>
      </c>
      <c r="C12" s="23">
        <f ca="1">C8*C10</f>
        <v>0</v>
      </c>
      <c r="D12" s="23">
        <f>D8*D10</f>
        <v>60.705999904000002</v>
      </c>
      <c r="E12" s="23">
        <f>E8*E10</f>
        <v>8.298970103402258</v>
      </c>
      <c r="F12" s="23">
        <f>F8*F10</f>
        <v>1383.4979464563655</v>
      </c>
      <c r="G12" s="23"/>
      <c r="H12" s="23"/>
      <c r="I12" s="23"/>
      <c r="J12" s="23">
        <f>J8*J10</f>
        <v>63.791219143172412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0.17650037105110106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130.89156671720778</v>
      </c>
      <c r="C26" s="247">
        <f>B26*'GWP N2O_CH4'!B5</f>
        <v>2748.7229010613632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33.83938850557093</v>
      </c>
      <c r="C27" s="247">
        <f>B27*'GWP N2O_CH4'!B5</f>
        <v>710.6271586169895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1.8401334825571873</v>
      </c>
      <c r="C28" s="247">
        <f>B28*'GWP N2O_CH4'!B4</f>
        <v>570.44137959272803</v>
      </c>
      <c r="D28" s="50"/>
    </row>
    <row r="29" spans="1:4">
      <c r="A29" s="41" t="s">
        <v>277</v>
      </c>
      <c r="B29" s="247">
        <f>B34*'ha_N2O bodem landbouw'!B4</f>
        <v>13.223152833705425</v>
      </c>
      <c r="C29" s="247">
        <f>B29*'GWP N2O_CH4'!B4</f>
        <v>4099.1773784486822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3.017477907639681E-3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1.5445560114923668E-4</v>
      </c>
      <c r="C5" s="463" t="s">
        <v>211</v>
      </c>
      <c r="D5" s="448">
        <f>SUM(D6:D11)</f>
        <v>5.3151405299455912E-4</v>
      </c>
      <c r="E5" s="448">
        <f>SUM(E6:E11)</f>
        <v>7.6936061938584575E-4</v>
      </c>
      <c r="F5" s="461" t="s">
        <v>211</v>
      </c>
      <c r="G5" s="448">
        <f>SUM(G6:G11)</f>
        <v>0.28037250679217418</v>
      </c>
      <c r="H5" s="448">
        <f>SUM(H6:H11)</f>
        <v>6.0836280857565178E-2</v>
      </c>
      <c r="I5" s="463" t="s">
        <v>211</v>
      </c>
      <c r="J5" s="463" t="s">
        <v>211</v>
      </c>
      <c r="K5" s="463" t="s">
        <v>211</v>
      </c>
      <c r="L5" s="463" t="s">
        <v>211</v>
      </c>
      <c r="M5" s="448">
        <f>SUM(M6:M11)</f>
        <v>1.8186527693716325E-2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7.4010185952603025E-5</v>
      </c>
      <c r="C6" s="449"/>
      <c r="D6" s="962">
        <f>vkm_2011_GW_PW*SUMIFS(TableVerdeelsleutelVkm[CNG],TableVerdeelsleutelVkm[Voertuigtype],"Lichte voertuigen")*SUMIFS(TableECFTransport[EnergieConsumptieFactor (PJ per km)],TableECFTransport[Index],CONCATENATE($A6,"_CNG_CNG"))</f>
        <v>2.2198807987491157E-4</v>
      </c>
      <c r="E6" s="962">
        <f>vkm_2011_GW_PW*SUMIFS(TableVerdeelsleutelVkm[LPG],TableVerdeelsleutelVkm[Voertuigtype],"Lichte voertuigen")*SUMIFS(TableECFTransport[EnergieConsumptieFactor (PJ per km)],TableECFTransport[Index],CONCATENATE($A6,"_LPG_LPG"))</f>
        <v>3.0326760412533919E-4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7.8411100423765132E-2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2.5244173634332373E-2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5.3303749560930118E-3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5.0014825095006023E-2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1.5240836197807045E-5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2.9227003042949879E-3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2.6019860539706801E-5</v>
      </c>
      <c r="C8" s="449"/>
      <c r="D8" s="451">
        <f>vkm_2011_NGW_PW*SUMIFS(TableVerdeelsleutelVkm[CNG],TableVerdeelsleutelVkm[Voertuigtype],"Lichte voertuigen")*SUMIFS(TableECFTransport[EnergieConsumptieFactor (PJ per km)],TableECFTransport[Index],CONCATENATE($A8,"_CNG_CNG"))</f>
        <v>1.3876425767714334E-4</v>
      </c>
      <c r="E8" s="451">
        <f>vkm_2011_NGW_PW*SUMIFS(TableVerdeelsleutelVkm[LPG],TableVerdeelsleutelVkm[Voertuigtype],"Lichte voertuigen")*SUMIFS(TableECFTransport[EnergieConsumptieFactor (PJ per km)],TableECFTransport[Index],CONCATENATE($A8,"_LPG_LPG"))</f>
        <v>1.7556509871227943E-4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4.2301553636732124E-2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1.5334778652310926E-2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2.9265657411951368E-3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7.5584601596831776E-3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2.1683222244680723E-6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4.4168731016667453E-4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5.4425554656926841E-5</v>
      </c>
      <c r="C10" s="449"/>
      <c r="D10" s="451">
        <f>vkm_2011_SW_PW*SUMIFS(TableVerdeelsleutelVkm[CNG],TableVerdeelsleutelVkm[Voertuigtype],"Lichte voertuigen")*SUMIFS(TableECFTransport[EnergieConsumptieFactor (PJ per km)],TableECFTransport[Index],CONCATENATE($A10,"_CNG_CNG"))</f>
        <v>1.7076171544250419E-4</v>
      </c>
      <c r="E10" s="451">
        <f>vkm_2011_SW_PW*SUMIFS(TableVerdeelsleutelVkm[LPG],TableVerdeelsleutelVkm[Voertuigtype],"Lichte voertuigen")*SUMIFS(TableECFTransport[EnergieConsumptieFactor (PJ per km)],TableECFTransport[Index],CONCATENATE($A10,"_LPG_LPG"))</f>
        <v>2.9052791654822708E-4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6.6967343012765912E-2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2.022836269532553E-2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4.5129231507554926E-3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3.5119224464221825E-2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1.1556717174078766E-5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2.0522762312110226E-3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42.904333652565747</v>
      </c>
      <c r="C14" s="21"/>
      <c r="D14" s="21">
        <f t="shared" ref="D14:M14" si="0">((D5)*10^9/3600)+D12</f>
        <v>147.64279249848866</v>
      </c>
      <c r="E14" s="21">
        <f t="shared" si="0"/>
        <v>213.71128316273493</v>
      </c>
      <c r="F14" s="21"/>
      <c r="G14" s="21">
        <f t="shared" si="0"/>
        <v>77881.25188671505</v>
      </c>
      <c r="H14" s="21">
        <f t="shared" si="0"/>
        <v>16898.966904879217</v>
      </c>
      <c r="I14" s="21"/>
      <c r="J14" s="21"/>
      <c r="K14" s="21"/>
      <c r="L14" s="21"/>
      <c r="M14" s="21">
        <f t="shared" si="0"/>
        <v>5051.8132482545343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0.19614066917871634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8.4152847132811637</v>
      </c>
      <c r="C18" s="23"/>
      <c r="D18" s="23">
        <f t="shared" ref="D18:M18" si="1">D14*D16</f>
        <v>29.823844084694713</v>
      </c>
      <c r="E18" s="23">
        <f t="shared" si="1"/>
        <v>48.51246127794083</v>
      </c>
      <c r="F18" s="23"/>
      <c r="G18" s="23">
        <f t="shared" si="1"/>
        <v>20794.29425375292</v>
      </c>
      <c r="H18" s="23">
        <f t="shared" si="1"/>
        <v>4207.8427593149245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7.619714837493974E-3</v>
      </c>
      <c r="H50" s="321">
        <f t="shared" si="2"/>
        <v>0</v>
      </c>
      <c r="I50" s="321">
        <f t="shared" si="2"/>
        <v>0</v>
      </c>
      <c r="J50" s="321">
        <f t="shared" si="2"/>
        <v>0</v>
      </c>
      <c r="K50" s="321">
        <f t="shared" si="2"/>
        <v>0</v>
      </c>
      <c r="L50" s="321">
        <f t="shared" si="2"/>
        <v>0</v>
      </c>
      <c r="M50" s="321">
        <f t="shared" si="2"/>
        <v>4.3276616495647893E-4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7.619714837493974E-3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4.3276616495647893E-4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2116.587454859437</v>
      </c>
      <c r="H54" s="21">
        <f t="shared" si="3"/>
        <v>0</v>
      </c>
      <c r="I54" s="21">
        <f t="shared" si="3"/>
        <v>0</v>
      </c>
      <c r="J54" s="21">
        <f t="shared" si="3"/>
        <v>0</v>
      </c>
      <c r="K54" s="21">
        <f t="shared" si="3"/>
        <v>0</v>
      </c>
      <c r="L54" s="21">
        <f t="shared" si="3"/>
        <v>0</v>
      </c>
      <c r="M54" s="21">
        <f t="shared" si="3"/>
        <v>120.21282359902193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0.19614066917871634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565.12885044746974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3633.6857327976927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3633.6857327976927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10937.696449999999</v>
      </c>
      <c r="D10" s="718">
        <f ca="1">tertiair!C16</f>
        <v>0</v>
      </c>
      <c r="E10" s="718">
        <f ca="1">tertiair!D16</f>
        <v>4130.6390048000003</v>
      </c>
      <c r="F10" s="718">
        <f>tertiair!E16</f>
        <v>223.85128062873301</v>
      </c>
      <c r="G10" s="718">
        <f ca="1">tertiair!F16</f>
        <v>1866.9093111460991</v>
      </c>
      <c r="H10" s="718">
        <f>tertiair!G16</f>
        <v>0</v>
      </c>
      <c r="I10" s="718">
        <f>tertiair!H16</f>
        <v>0</v>
      </c>
      <c r="J10" s="718">
        <f>tertiair!I16</f>
        <v>0</v>
      </c>
      <c r="K10" s="718">
        <f>tertiair!J16</f>
        <v>1.7579927928301115E-2</v>
      </c>
      <c r="L10" s="718">
        <f>tertiair!K16</f>
        <v>0</v>
      </c>
      <c r="M10" s="718">
        <f ca="1">tertiair!L16</f>
        <v>0</v>
      </c>
      <c r="N10" s="718">
        <f>tertiair!M16</f>
        <v>0</v>
      </c>
      <c r="O10" s="718">
        <f ca="1">tertiair!N16</f>
        <v>703.60334568627343</v>
      </c>
      <c r="P10" s="718">
        <f>tertiair!O16</f>
        <v>1.5633333333333335</v>
      </c>
      <c r="Q10" s="719">
        <f>tertiair!P16</f>
        <v>0</v>
      </c>
      <c r="R10" s="721">
        <f ca="1">SUM(C10:Q10)</f>
        <v>17864.280305522367</v>
      </c>
      <c r="S10" s="67"/>
    </row>
    <row r="11" spans="1:19" s="474" customFormat="1">
      <c r="A11" s="870" t="s">
        <v>225</v>
      </c>
      <c r="B11" s="875"/>
      <c r="C11" s="718">
        <f>huishoudens!B8</f>
        <v>19164.88652801319</v>
      </c>
      <c r="D11" s="718">
        <f>huishoudens!C8</f>
        <v>0</v>
      </c>
      <c r="E11" s="718">
        <f>huishoudens!D8</f>
        <v>18950.679449899999</v>
      </c>
      <c r="F11" s="718">
        <f>huishoudens!E8</f>
        <v>8043.7445138123312</v>
      </c>
      <c r="G11" s="718">
        <f>huishoudens!F8</f>
        <v>50073.124021977193</v>
      </c>
      <c r="H11" s="718">
        <f>huishoudens!G8</f>
        <v>0</v>
      </c>
      <c r="I11" s="718">
        <f>huishoudens!H8</f>
        <v>0</v>
      </c>
      <c r="J11" s="718">
        <f>huishoudens!I8</f>
        <v>0</v>
      </c>
      <c r="K11" s="718">
        <f>huishoudens!J8</f>
        <v>1861.7452638862358</v>
      </c>
      <c r="L11" s="718">
        <f>huishoudens!K8</f>
        <v>0</v>
      </c>
      <c r="M11" s="718">
        <f>huishoudens!L8</f>
        <v>0</v>
      </c>
      <c r="N11" s="718">
        <f>huishoudens!M8</f>
        <v>0</v>
      </c>
      <c r="O11" s="718">
        <f>huishoudens!N8</f>
        <v>12579.775277883198</v>
      </c>
      <c r="P11" s="718">
        <f>huishoudens!O8</f>
        <v>212.61333333333334</v>
      </c>
      <c r="Q11" s="719">
        <f>huishoudens!P8</f>
        <v>1010.5333333333333</v>
      </c>
      <c r="R11" s="721">
        <f>SUM(C11:Q11)</f>
        <v>111897.1017221388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914.25030000000004</v>
      </c>
      <c r="D13" s="718">
        <f>industrie!C18</f>
        <v>0</v>
      </c>
      <c r="E13" s="718">
        <f>industrie!D18</f>
        <v>442.598772</v>
      </c>
      <c r="F13" s="718">
        <f>industrie!E18</f>
        <v>192.63113972644166</v>
      </c>
      <c r="G13" s="718">
        <f>industrie!F18</f>
        <v>544.76006455074946</v>
      </c>
      <c r="H13" s="718">
        <f>industrie!G18</f>
        <v>0</v>
      </c>
      <c r="I13" s="718">
        <f>industrie!H18</f>
        <v>0</v>
      </c>
      <c r="J13" s="718">
        <f>industrie!I18</f>
        <v>0</v>
      </c>
      <c r="K13" s="718">
        <f>industrie!J18</f>
        <v>2.168788605946778E-3</v>
      </c>
      <c r="L13" s="718">
        <f>industrie!K18</f>
        <v>0</v>
      </c>
      <c r="M13" s="718">
        <f>industrie!L18</f>
        <v>0</v>
      </c>
      <c r="N13" s="718">
        <f>industrie!M18</f>
        <v>0</v>
      </c>
      <c r="O13" s="718">
        <f>industrie!N18</f>
        <v>270.16233316434329</v>
      </c>
      <c r="P13" s="718">
        <f>industrie!O18</f>
        <v>0</v>
      </c>
      <c r="Q13" s="719">
        <f>industrie!P18</f>
        <v>0</v>
      </c>
      <c r="R13" s="721">
        <f>SUM(C13:Q13)</f>
        <v>2364.4047782301404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31016.83327801319</v>
      </c>
      <c r="D15" s="723">
        <f t="shared" ref="D15:Q15" ca="1" si="0">SUM(D9:D14)</f>
        <v>0</v>
      </c>
      <c r="E15" s="723">
        <f t="shared" ca="1" si="0"/>
        <v>23523.917226699999</v>
      </c>
      <c r="F15" s="723">
        <f t="shared" si="0"/>
        <v>8460.2269341675055</v>
      </c>
      <c r="G15" s="723">
        <f t="shared" ca="1" si="0"/>
        <v>52484.793397674039</v>
      </c>
      <c r="H15" s="723">
        <f t="shared" si="0"/>
        <v>0</v>
      </c>
      <c r="I15" s="723">
        <f t="shared" si="0"/>
        <v>0</v>
      </c>
      <c r="J15" s="723">
        <f t="shared" si="0"/>
        <v>0</v>
      </c>
      <c r="K15" s="723">
        <f t="shared" si="0"/>
        <v>1861.7650126027702</v>
      </c>
      <c r="L15" s="723">
        <f t="shared" si="0"/>
        <v>0</v>
      </c>
      <c r="M15" s="723">
        <f t="shared" ca="1" si="0"/>
        <v>0</v>
      </c>
      <c r="N15" s="723">
        <f t="shared" si="0"/>
        <v>0</v>
      </c>
      <c r="O15" s="723">
        <f t="shared" ca="1" si="0"/>
        <v>13553.540956733816</v>
      </c>
      <c r="P15" s="723">
        <f t="shared" si="0"/>
        <v>214.17666666666668</v>
      </c>
      <c r="Q15" s="724">
        <f t="shared" si="0"/>
        <v>1010.5333333333333</v>
      </c>
      <c r="R15" s="725">
        <f ca="1">SUM(R9:R14)</f>
        <v>132125.78680589132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2116.587454859437</v>
      </c>
      <c r="I18" s="718">
        <f>transport!H54</f>
        <v>0</v>
      </c>
      <c r="J18" s="718">
        <f>transport!I54</f>
        <v>0</v>
      </c>
      <c r="K18" s="718">
        <f>transport!J54</f>
        <v>0</v>
      </c>
      <c r="L18" s="718">
        <f>transport!K54</f>
        <v>0</v>
      </c>
      <c r="M18" s="718">
        <f>transport!L54</f>
        <v>0</v>
      </c>
      <c r="N18" s="718">
        <f>transport!M54</f>
        <v>120.21282359902193</v>
      </c>
      <c r="O18" s="718">
        <f>transport!N54</f>
        <v>0</v>
      </c>
      <c r="P18" s="718">
        <f>transport!O54</f>
        <v>0</v>
      </c>
      <c r="Q18" s="719">
        <f>transport!P54</f>
        <v>0</v>
      </c>
      <c r="R18" s="721">
        <f>SUM(C18:Q18)</f>
        <v>2236.8002784584587</v>
      </c>
      <c r="S18" s="67"/>
    </row>
    <row r="19" spans="1:19" s="474" customFormat="1" ht="15" thickBot="1">
      <c r="A19" s="870" t="s">
        <v>307</v>
      </c>
      <c r="B19" s="875"/>
      <c r="C19" s="727">
        <f>transport!B14</f>
        <v>42.904333652565747</v>
      </c>
      <c r="D19" s="727">
        <f>transport!C14</f>
        <v>0</v>
      </c>
      <c r="E19" s="727">
        <f>transport!D14</f>
        <v>147.64279249848866</v>
      </c>
      <c r="F19" s="727">
        <f>transport!E14</f>
        <v>213.71128316273493</v>
      </c>
      <c r="G19" s="727">
        <f>transport!F14</f>
        <v>0</v>
      </c>
      <c r="H19" s="727">
        <f>transport!G14</f>
        <v>77881.25188671505</v>
      </c>
      <c r="I19" s="727">
        <f>transport!H14</f>
        <v>16898.966904879217</v>
      </c>
      <c r="J19" s="727">
        <f>transport!I14</f>
        <v>0</v>
      </c>
      <c r="K19" s="727">
        <f>transport!J14</f>
        <v>0</v>
      </c>
      <c r="L19" s="727">
        <f>transport!K14</f>
        <v>0</v>
      </c>
      <c r="M19" s="727">
        <f>transport!L14</f>
        <v>0</v>
      </c>
      <c r="N19" s="727">
        <f>transport!M14</f>
        <v>5051.8132482545343</v>
      </c>
      <c r="O19" s="727">
        <f>transport!N14</f>
        <v>0</v>
      </c>
      <c r="P19" s="727">
        <f>transport!O14</f>
        <v>0</v>
      </c>
      <c r="Q19" s="728">
        <f>transport!P14</f>
        <v>0</v>
      </c>
      <c r="R19" s="729">
        <f>SUM(C19:Q19)</f>
        <v>100236.29044916258</v>
      </c>
      <c r="S19" s="67"/>
    </row>
    <row r="20" spans="1:19" s="474" customFormat="1" ht="15.75" thickBot="1">
      <c r="A20" s="730" t="s">
        <v>230</v>
      </c>
      <c r="B20" s="878"/>
      <c r="C20" s="873">
        <f>SUM(C17:C19)</f>
        <v>42.904333652565747</v>
      </c>
      <c r="D20" s="731">
        <f t="shared" ref="D20:R20" si="1">SUM(D17:D19)</f>
        <v>0</v>
      </c>
      <c r="E20" s="731">
        <f t="shared" si="1"/>
        <v>147.64279249848866</v>
      </c>
      <c r="F20" s="731">
        <f t="shared" si="1"/>
        <v>213.71128316273493</v>
      </c>
      <c r="G20" s="731">
        <f t="shared" si="1"/>
        <v>0</v>
      </c>
      <c r="H20" s="731">
        <f t="shared" si="1"/>
        <v>79997.839341574494</v>
      </c>
      <c r="I20" s="731">
        <f t="shared" si="1"/>
        <v>16898.966904879217</v>
      </c>
      <c r="J20" s="731">
        <f t="shared" si="1"/>
        <v>0</v>
      </c>
      <c r="K20" s="731">
        <f t="shared" si="1"/>
        <v>0</v>
      </c>
      <c r="L20" s="731">
        <f t="shared" si="1"/>
        <v>0</v>
      </c>
      <c r="M20" s="731">
        <f t="shared" si="1"/>
        <v>0</v>
      </c>
      <c r="N20" s="731">
        <f t="shared" si="1"/>
        <v>5172.0260718535565</v>
      </c>
      <c r="O20" s="731">
        <f t="shared" si="1"/>
        <v>0</v>
      </c>
      <c r="P20" s="731">
        <f t="shared" si="1"/>
        <v>0</v>
      </c>
      <c r="Q20" s="732">
        <f t="shared" si="1"/>
        <v>0</v>
      </c>
      <c r="R20" s="733">
        <f t="shared" si="1"/>
        <v>102473.09072762103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1243.8088</v>
      </c>
      <c r="D22" s="727">
        <f>+landbouw!C8</f>
        <v>0</v>
      </c>
      <c r="E22" s="727">
        <f>+landbouw!D8</f>
        <v>300.52475199999998</v>
      </c>
      <c r="F22" s="727">
        <f>+landbouw!E8</f>
        <v>36.559339662565009</v>
      </c>
      <c r="G22" s="727">
        <f>+landbouw!F8</f>
        <v>5181.6402489002448</v>
      </c>
      <c r="H22" s="727">
        <f>+landbouw!G8</f>
        <v>0</v>
      </c>
      <c r="I22" s="727">
        <f>+landbouw!H8</f>
        <v>0</v>
      </c>
      <c r="J22" s="727">
        <f>+landbouw!I8</f>
        <v>0</v>
      </c>
      <c r="K22" s="727">
        <f>+landbouw!J8</f>
        <v>180.20118402026105</v>
      </c>
      <c r="L22" s="727">
        <f>+landbouw!K8</f>
        <v>0</v>
      </c>
      <c r="M22" s="727">
        <f>+landbouw!L8</f>
        <v>0</v>
      </c>
      <c r="N22" s="727">
        <f>+landbouw!M8</f>
        <v>0</v>
      </c>
      <c r="O22" s="727">
        <f>+landbouw!N8</f>
        <v>0</v>
      </c>
      <c r="P22" s="727">
        <f>+landbouw!O8</f>
        <v>0</v>
      </c>
      <c r="Q22" s="728">
        <f>+landbouw!P8</f>
        <v>0</v>
      </c>
      <c r="R22" s="729">
        <f>SUM(C22:Q22)</f>
        <v>6942.7343245830707</v>
      </c>
      <c r="S22" s="67"/>
    </row>
    <row r="23" spans="1:19" s="474" customFormat="1" ht="17.25" thickTop="1" thickBot="1">
      <c r="A23" s="734" t="s">
        <v>116</v>
      </c>
      <c r="B23" s="864"/>
      <c r="C23" s="735">
        <f ca="1">C20+C15+C22</f>
        <v>32303.546411665753</v>
      </c>
      <c r="D23" s="735">
        <f t="shared" ref="D23:Q23" ca="1" si="2">D20+D15+D22</f>
        <v>0</v>
      </c>
      <c r="E23" s="735">
        <f t="shared" ca="1" si="2"/>
        <v>23972.08477119849</v>
      </c>
      <c r="F23" s="735">
        <f t="shared" si="2"/>
        <v>8710.4975569928047</v>
      </c>
      <c r="G23" s="735">
        <f t="shared" ca="1" si="2"/>
        <v>57666.433646574282</v>
      </c>
      <c r="H23" s="735">
        <f t="shared" si="2"/>
        <v>79997.839341574494</v>
      </c>
      <c r="I23" s="735">
        <f t="shared" si="2"/>
        <v>16898.966904879217</v>
      </c>
      <c r="J23" s="735">
        <f t="shared" si="2"/>
        <v>0</v>
      </c>
      <c r="K23" s="735">
        <f t="shared" si="2"/>
        <v>2041.9661966230312</v>
      </c>
      <c r="L23" s="735">
        <f t="shared" si="2"/>
        <v>0</v>
      </c>
      <c r="M23" s="735">
        <f t="shared" ca="1" si="2"/>
        <v>0</v>
      </c>
      <c r="N23" s="735">
        <f t="shared" si="2"/>
        <v>5172.0260718535565</v>
      </c>
      <c r="O23" s="735">
        <f t="shared" ca="1" si="2"/>
        <v>13553.540956733816</v>
      </c>
      <c r="P23" s="735">
        <f t="shared" si="2"/>
        <v>214.17666666666668</v>
      </c>
      <c r="Q23" s="736">
        <f t="shared" si="2"/>
        <v>1010.5333333333333</v>
      </c>
      <c r="R23" s="737">
        <f ca="1">R20+R15+R22</f>
        <v>241541.61185809545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2145.32710097667</v>
      </c>
      <c r="D36" s="718">
        <f ca="1">tertiair!C20</f>
        <v>0</v>
      </c>
      <c r="E36" s="718">
        <f ca="1">tertiair!D20</f>
        <v>834.38907896960006</v>
      </c>
      <c r="F36" s="718">
        <f>tertiair!E20</f>
        <v>50.814240702722394</v>
      </c>
      <c r="G36" s="718">
        <f ca="1">tertiair!F20</f>
        <v>498.46478607600847</v>
      </c>
      <c r="H36" s="718">
        <f>tertiair!G20</f>
        <v>0</v>
      </c>
      <c r="I36" s="718">
        <f>tertiair!H20</f>
        <v>0</v>
      </c>
      <c r="J36" s="718">
        <f>tertiair!I20</f>
        <v>0</v>
      </c>
      <c r="K36" s="718">
        <f>tertiair!J20</f>
        <v>6.2232944866185943E-3</v>
      </c>
      <c r="L36" s="718">
        <f>tertiair!K20</f>
        <v>0</v>
      </c>
      <c r="M36" s="718">
        <f ca="1">tertiair!L20</f>
        <v>0</v>
      </c>
      <c r="N36" s="718">
        <f>tertiair!M20</f>
        <v>0</v>
      </c>
      <c r="O36" s="718">
        <f ca="1">tertiair!N20</f>
        <v>0</v>
      </c>
      <c r="P36" s="718">
        <f>tertiair!O20</f>
        <v>0</v>
      </c>
      <c r="Q36" s="828">
        <f>tertiair!P20</f>
        <v>0</v>
      </c>
      <c r="R36" s="917">
        <f ca="1">SUM(C36:Q36)</f>
        <v>3529.0014300194875</v>
      </c>
    </row>
    <row r="37" spans="1:18">
      <c r="A37" s="885" t="s">
        <v>225</v>
      </c>
      <c r="B37" s="892"/>
      <c r="C37" s="718">
        <f ca="1">huishoudens!B12</f>
        <v>3759.0136683386727</v>
      </c>
      <c r="D37" s="718">
        <f ca="1">huishoudens!C12</f>
        <v>0</v>
      </c>
      <c r="E37" s="718">
        <f>huishoudens!D12</f>
        <v>3828.0372488797998</v>
      </c>
      <c r="F37" s="718">
        <f>huishoudens!E12</f>
        <v>1825.9300046353992</v>
      </c>
      <c r="G37" s="718">
        <f>huishoudens!F12</f>
        <v>13369.524113867912</v>
      </c>
      <c r="H37" s="718">
        <f>huishoudens!G12</f>
        <v>0</v>
      </c>
      <c r="I37" s="718">
        <f>huishoudens!H12</f>
        <v>0</v>
      </c>
      <c r="J37" s="718">
        <f>huishoudens!I12</f>
        <v>0</v>
      </c>
      <c r="K37" s="718">
        <f>huishoudens!J12</f>
        <v>659.0578234157274</v>
      </c>
      <c r="L37" s="718">
        <f>huishoudens!K12</f>
        <v>0</v>
      </c>
      <c r="M37" s="718">
        <f>huishoudens!L12</f>
        <v>0</v>
      </c>
      <c r="N37" s="718">
        <f>huishoudens!M12</f>
        <v>0</v>
      </c>
      <c r="O37" s="718">
        <f>huishoudens!N12</f>
        <v>0</v>
      </c>
      <c r="P37" s="718">
        <f>huishoudens!O12</f>
        <v>0</v>
      </c>
      <c r="Q37" s="828">
        <f>huishoudens!P12</f>
        <v>0</v>
      </c>
      <c r="R37" s="917">
        <f ca="1">SUM(C37:Q37)</f>
        <v>23441.562859137513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179.32166563884218</v>
      </c>
      <c r="D39" s="718">
        <f ca="1">industrie!C22</f>
        <v>0</v>
      </c>
      <c r="E39" s="718">
        <f>industrie!D22</f>
        <v>89.404951944000004</v>
      </c>
      <c r="F39" s="718">
        <f>industrie!E22</f>
        <v>43.727268717902255</v>
      </c>
      <c r="G39" s="718">
        <f>industrie!F22</f>
        <v>145.45093723505011</v>
      </c>
      <c r="H39" s="718">
        <f>industrie!G22</f>
        <v>0</v>
      </c>
      <c r="I39" s="718">
        <f>industrie!H22</f>
        <v>0</v>
      </c>
      <c r="J39" s="718">
        <f>industrie!I22</f>
        <v>0</v>
      </c>
      <c r="K39" s="718">
        <f>industrie!J22</f>
        <v>7.6775116650515938E-4</v>
      </c>
      <c r="L39" s="718">
        <f>industrie!K22</f>
        <v>0</v>
      </c>
      <c r="M39" s="718">
        <f>industrie!L22</f>
        <v>0</v>
      </c>
      <c r="N39" s="718">
        <f>industrie!M22</f>
        <v>0</v>
      </c>
      <c r="O39" s="718">
        <f>industrie!N22</f>
        <v>0</v>
      </c>
      <c r="P39" s="718">
        <f>industrie!O22</f>
        <v>0</v>
      </c>
      <c r="Q39" s="828">
        <f>industrie!P22</f>
        <v>0</v>
      </c>
      <c r="R39" s="918">
        <f ca="1">SUM(C39:Q39)</f>
        <v>457.90559128696106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6083.6624349541844</v>
      </c>
      <c r="D41" s="763">
        <f t="shared" ref="D41:R41" ca="1" si="4">SUM(D35:D40)</f>
        <v>0</v>
      </c>
      <c r="E41" s="763">
        <f t="shared" ca="1" si="4"/>
        <v>4751.8312797933995</v>
      </c>
      <c r="F41" s="763">
        <f t="shared" si="4"/>
        <v>1920.4715140560238</v>
      </c>
      <c r="G41" s="763">
        <f t="shared" ca="1" si="4"/>
        <v>14013.43983717897</v>
      </c>
      <c r="H41" s="763">
        <f t="shared" si="4"/>
        <v>0</v>
      </c>
      <c r="I41" s="763">
        <f t="shared" si="4"/>
        <v>0</v>
      </c>
      <c r="J41" s="763">
        <f t="shared" si="4"/>
        <v>0</v>
      </c>
      <c r="K41" s="763">
        <f t="shared" si="4"/>
        <v>659.06481446138048</v>
      </c>
      <c r="L41" s="763">
        <f t="shared" si="4"/>
        <v>0</v>
      </c>
      <c r="M41" s="763">
        <f t="shared" ca="1" si="4"/>
        <v>0</v>
      </c>
      <c r="N41" s="763">
        <f t="shared" si="4"/>
        <v>0</v>
      </c>
      <c r="O41" s="763">
        <f t="shared" ca="1" si="4"/>
        <v>0</v>
      </c>
      <c r="P41" s="763">
        <f t="shared" si="4"/>
        <v>0</v>
      </c>
      <c r="Q41" s="764">
        <f t="shared" si="4"/>
        <v>0</v>
      </c>
      <c r="R41" s="765">
        <f t="shared" ca="1" si="4"/>
        <v>27428.469880443965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565.12885044746974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565.12885044746974</v>
      </c>
    </row>
    <row r="45" spans="1:18" ht="15" thickBot="1">
      <c r="A45" s="888" t="s">
        <v>307</v>
      </c>
      <c r="B45" s="898"/>
      <c r="C45" s="727">
        <f ca="1">transport!B18</f>
        <v>8.4152847132811637</v>
      </c>
      <c r="D45" s="727">
        <f>transport!C18</f>
        <v>0</v>
      </c>
      <c r="E45" s="727">
        <f>transport!D18</f>
        <v>29.823844084694713</v>
      </c>
      <c r="F45" s="727">
        <f>transport!E18</f>
        <v>48.51246127794083</v>
      </c>
      <c r="G45" s="727">
        <f>transport!F18</f>
        <v>0</v>
      </c>
      <c r="H45" s="727">
        <f>transport!G18</f>
        <v>20794.29425375292</v>
      </c>
      <c r="I45" s="727">
        <f>transport!H18</f>
        <v>4207.8427593149245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25088.888603143761</v>
      </c>
    </row>
    <row r="46" spans="1:18" ht="15.75" thickBot="1">
      <c r="A46" s="886" t="s">
        <v>230</v>
      </c>
      <c r="B46" s="899"/>
      <c r="C46" s="763">
        <f t="shared" ref="C46:R46" ca="1" si="5">SUM(C43:C45)</f>
        <v>8.4152847132811637</v>
      </c>
      <c r="D46" s="763">
        <f t="shared" ca="1" si="5"/>
        <v>0</v>
      </c>
      <c r="E46" s="763">
        <f t="shared" si="5"/>
        <v>29.823844084694713</v>
      </c>
      <c r="F46" s="763">
        <f t="shared" si="5"/>
        <v>48.51246127794083</v>
      </c>
      <c r="G46" s="763">
        <f t="shared" si="5"/>
        <v>0</v>
      </c>
      <c r="H46" s="763">
        <f t="shared" si="5"/>
        <v>21359.423104200388</v>
      </c>
      <c r="I46" s="763">
        <f t="shared" si="5"/>
        <v>4207.8427593149245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25654.01745359123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243.96149036237617</v>
      </c>
      <c r="D48" s="718">
        <f ca="1">+landbouw!C12</f>
        <v>0</v>
      </c>
      <c r="E48" s="718">
        <f>+landbouw!D12</f>
        <v>60.705999904000002</v>
      </c>
      <c r="F48" s="718">
        <f>+landbouw!E12</f>
        <v>8.298970103402258</v>
      </c>
      <c r="G48" s="718">
        <f>+landbouw!F12</f>
        <v>1383.4979464563655</v>
      </c>
      <c r="H48" s="718">
        <f>+landbouw!G12</f>
        <v>0</v>
      </c>
      <c r="I48" s="718">
        <f>+landbouw!H12</f>
        <v>0</v>
      </c>
      <c r="J48" s="718">
        <f>+landbouw!I12</f>
        <v>0</v>
      </c>
      <c r="K48" s="718">
        <f>+landbouw!J12</f>
        <v>63.791219143172412</v>
      </c>
      <c r="L48" s="718">
        <f>+landbouw!K12</f>
        <v>0</v>
      </c>
      <c r="M48" s="718">
        <f>+landbouw!L12</f>
        <v>0</v>
      </c>
      <c r="N48" s="718">
        <f>+landbouw!M12</f>
        <v>0</v>
      </c>
      <c r="O48" s="718">
        <f>+landbouw!N12</f>
        <v>0</v>
      </c>
      <c r="P48" s="718">
        <f>+landbouw!O12</f>
        <v>0</v>
      </c>
      <c r="Q48" s="719">
        <f>+landbouw!P12</f>
        <v>0</v>
      </c>
      <c r="R48" s="761">
        <f ca="1">SUM(C48:Q48)</f>
        <v>1760.2556259693163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6336.0392100298413</v>
      </c>
      <c r="D53" s="773">
        <f t="shared" ref="D53:Q53" ca="1" si="6">D41+D46+D48</f>
        <v>0</v>
      </c>
      <c r="E53" s="773">
        <f t="shared" ca="1" si="6"/>
        <v>4842.3611237820942</v>
      </c>
      <c r="F53" s="773">
        <f t="shared" si="6"/>
        <v>1977.2829454373671</v>
      </c>
      <c r="G53" s="773">
        <f t="shared" ca="1" si="6"/>
        <v>15396.937783635336</v>
      </c>
      <c r="H53" s="773">
        <f t="shared" si="6"/>
        <v>21359.423104200388</v>
      </c>
      <c r="I53" s="773">
        <f t="shared" si="6"/>
        <v>4207.8427593149245</v>
      </c>
      <c r="J53" s="773">
        <f t="shared" si="6"/>
        <v>0</v>
      </c>
      <c r="K53" s="773">
        <f t="shared" si="6"/>
        <v>722.85603360455286</v>
      </c>
      <c r="L53" s="773">
        <f t="shared" si="6"/>
        <v>0</v>
      </c>
      <c r="M53" s="773">
        <f t="shared" ca="1" si="6"/>
        <v>0</v>
      </c>
      <c r="N53" s="773">
        <f t="shared" si="6"/>
        <v>0</v>
      </c>
      <c r="O53" s="773">
        <f t="shared" ca="1" si="6"/>
        <v>0</v>
      </c>
      <c r="P53" s="773">
        <f>P41+P46+P48</f>
        <v>0</v>
      </c>
      <c r="Q53" s="774">
        <f t="shared" si="6"/>
        <v>0</v>
      </c>
      <c r="R53" s="775">
        <f ca="1">R41+R46+R48</f>
        <v>54842.742960004507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0.19614066917871634</v>
      </c>
      <c r="D55" s="836">
        <f t="shared" ca="1" si="7"/>
        <v>0</v>
      </c>
      <c r="E55" s="836">
        <f t="shared" ca="1" si="7"/>
        <v>0.20199999999999996</v>
      </c>
      <c r="F55" s="836">
        <f t="shared" si="7"/>
        <v>0.22700000000000004</v>
      </c>
      <c r="G55" s="836">
        <f t="shared" ca="1" si="7"/>
        <v>0.26700000000000007</v>
      </c>
      <c r="H55" s="836">
        <f t="shared" si="7"/>
        <v>0.26699999999999996</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3633.6857327976927</v>
      </c>
      <c r="C66" s="795">
        <f>'lokale energieproductie'!B6</f>
        <v>3633.6857327976927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3633.6857327976927</v>
      </c>
      <c r="C69" s="803">
        <f>SUM(C64:C68)</f>
        <v>3633.6857327976927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19164.88652801319</v>
      </c>
      <c r="C4" s="478">
        <f>huishoudens!C8</f>
        <v>0</v>
      </c>
      <c r="D4" s="478">
        <f>huishoudens!D8</f>
        <v>18950.679449899999</v>
      </c>
      <c r="E4" s="478">
        <f>huishoudens!E8</f>
        <v>8043.7445138123312</v>
      </c>
      <c r="F4" s="478">
        <f>huishoudens!F8</f>
        <v>50073.124021977193</v>
      </c>
      <c r="G4" s="478">
        <f>huishoudens!G8</f>
        <v>0</v>
      </c>
      <c r="H4" s="478">
        <f>huishoudens!H8</f>
        <v>0</v>
      </c>
      <c r="I4" s="478">
        <f>huishoudens!I8</f>
        <v>0</v>
      </c>
      <c r="J4" s="478">
        <f>huishoudens!J8</f>
        <v>1861.7452638862358</v>
      </c>
      <c r="K4" s="478">
        <f>huishoudens!K8</f>
        <v>0</v>
      </c>
      <c r="L4" s="478">
        <f>huishoudens!L8</f>
        <v>0</v>
      </c>
      <c r="M4" s="478">
        <f>huishoudens!M8</f>
        <v>0</v>
      </c>
      <c r="N4" s="478">
        <f>huishoudens!N8</f>
        <v>12579.775277883198</v>
      </c>
      <c r="O4" s="478">
        <f>huishoudens!O8</f>
        <v>212.61333333333334</v>
      </c>
      <c r="P4" s="479">
        <f>huishoudens!P8</f>
        <v>1010.5333333333333</v>
      </c>
      <c r="Q4" s="480">
        <f>SUM(B4:P4)</f>
        <v>111897.1017221388</v>
      </c>
    </row>
    <row r="5" spans="1:17">
      <c r="A5" s="477" t="s">
        <v>156</v>
      </c>
      <c r="B5" s="478">
        <f ca="1">tertiair!B16</f>
        <v>10338.203449999999</v>
      </c>
      <c r="C5" s="478">
        <f ca="1">tertiair!C16</f>
        <v>0</v>
      </c>
      <c r="D5" s="478">
        <f ca="1">tertiair!D16</f>
        <v>4130.6390048000003</v>
      </c>
      <c r="E5" s="478">
        <f>tertiair!E16</f>
        <v>223.85128062873301</v>
      </c>
      <c r="F5" s="478">
        <f ca="1">tertiair!F16</f>
        <v>1866.9093111460991</v>
      </c>
      <c r="G5" s="478">
        <f>tertiair!G16</f>
        <v>0</v>
      </c>
      <c r="H5" s="478">
        <f>tertiair!H16</f>
        <v>0</v>
      </c>
      <c r="I5" s="478">
        <f>tertiair!I16</f>
        <v>0</v>
      </c>
      <c r="J5" s="478">
        <f>tertiair!J16</f>
        <v>1.7579927928301115E-2</v>
      </c>
      <c r="K5" s="478">
        <f>tertiair!K16</f>
        <v>0</v>
      </c>
      <c r="L5" s="478">
        <f ca="1">tertiair!L16</f>
        <v>0</v>
      </c>
      <c r="M5" s="478">
        <f>tertiair!M16</f>
        <v>0</v>
      </c>
      <c r="N5" s="478">
        <f ca="1">tertiair!N16</f>
        <v>703.60334568627343</v>
      </c>
      <c r="O5" s="478">
        <f>tertiair!O16</f>
        <v>1.5633333333333335</v>
      </c>
      <c r="P5" s="479">
        <f>tertiair!P16</f>
        <v>0</v>
      </c>
      <c r="Q5" s="477">
        <f t="shared" ref="Q5:Q13" ca="1" si="0">SUM(B5:P5)</f>
        <v>17264.787305522368</v>
      </c>
    </row>
    <row r="6" spans="1:17">
      <c r="A6" s="477" t="s">
        <v>194</v>
      </c>
      <c r="B6" s="478">
        <f>'openbare verlichting'!B8</f>
        <v>599.49300000000005</v>
      </c>
      <c r="C6" s="478"/>
      <c r="D6" s="478"/>
      <c r="E6" s="478"/>
      <c r="F6" s="478"/>
      <c r="G6" s="478"/>
      <c r="H6" s="478"/>
      <c r="I6" s="478"/>
      <c r="J6" s="478"/>
      <c r="K6" s="478"/>
      <c r="L6" s="478"/>
      <c r="M6" s="478"/>
      <c r="N6" s="478"/>
      <c r="O6" s="478"/>
      <c r="P6" s="479"/>
      <c r="Q6" s="477">
        <f t="shared" si="0"/>
        <v>599.49300000000005</v>
      </c>
    </row>
    <row r="7" spans="1:17">
      <c r="A7" s="477" t="s">
        <v>112</v>
      </c>
      <c r="B7" s="478">
        <f>landbouw!B8</f>
        <v>1243.8088</v>
      </c>
      <c r="C7" s="478">
        <f>landbouw!C8</f>
        <v>0</v>
      </c>
      <c r="D7" s="478">
        <f>landbouw!D8</f>
        <v>300.52475199999998</v>
      </c>
      <c r="E7" s="478">
        <f>landbouw!E8</f>
        <v>36.559339662565009</v>
      </c>
      <c r="F7" s="478">
        <f>landbouw!F8</f>
        <v>5181.6402489002448</v>
      </c>
      <c r="G7" s="478">
        <f>landbouw!G8</f>
        <v>0</v>
      </c>
      <c r="H7" s="478">
        <f>landbouw!H8</f>
        <v>0</v>
      </c>
      <c r="I7" s="478">
        <f>landbouw!I8</f>
        <v>0</v>
      </c>
      <c r="J7" s="478">
        <f>landbouw!J8</f>
        <v>180.20118402026105</v>
      </c>
      <c r="K7" s="478">
        <f>landbouw!K8</f>
        <v>0</v>
      </c>
      <c r="L7" s="478">
        <f>landbouw!L8</f>
        <v>0</v>
      </c>
      <c r="M7" s="478">
        <f>landbouw!M8</f>
        <v>0</v>
      </c>
      <c r="N7" s="478">
        <f>landbouw!N8</f>
        <v>0</v>
      </c>
      <c r="O7" s="478">
        <f>landbouw!O8</f>
        <v>0</v>
      </c>
      <c r="P7" s="479">
        <f>landbouw!P8</f>
        <v>0</v>
      </c>
      <c r="Q7" s="477">
        <f t="shared" si="0"/>
        <v>6942.7343245830707</v>
      </c>
    </row>
    <row r="8" spans="1:17">
      <c r="A8" s="477" t="s">
        <v>635</v>
      </c>
      <c r="B8" s="478">
        <f>industrie!B18</f>
        <v>914.25030000000004</v>
      </c>
      <c r="C8" s="478">
        <f>industrie!C18</f>
        <v>0</v>
      </c>
      <c r="D8" s="478">
        <f>industrie!D18</f>
        <v>442.598772</v>
      </c>
      <c r="E8" s="478">
        <f>industrie!E18</f>
        <v>192.63113972644166</v>
      </c>
      <c r="F8" s="478">
        <f>industrie!F18</f>
        <v>544.76006455074946</v>
      </c>
      <c r="G8" s="478">
        <f>industrie!G18</f>
        <v>0</v>
      </c>
      <c r="H8" s="478">
        <f>industrie!H18</f>
        <v>0</v>
      </c>
      <c r="I8" s="478">
        <f>industrie!I18</f>
        <v>0</v>
      </c>
      <c r="J8" s="478">
        <f>industrie!J18</f>
        <v>2.168788605946778E-3</v>
      </c>
      <c r="K8" s="478">
        <f>industrie!K18</f>
        <v>0</v>
      </c>
      <c r="L8" s="478">
        <f>industrie!L18</f>
        <v>0</v>
      </c>
      <c r="M8" s="478">
        <f>industrie!M18</f>
        <v>0</v>
      </c>
      <c r="N8" s="478">
        <f>industrie!N18</f>
        <v>270.16233316434329</v>
      </c>
      <c r="O8" s="478">
        <f>industrie!O18</f>
        <v>0</v>
      </c>
      <c r="P8" s="479">
        <f>industrie!P18</f>
        <v>0</v>
      </c>
      <c r="Q8" s="477">
        <f t="shared" si="0"/>
        <v>2364.4047782301404</v>
      </c>
    </row>
    <row r="9" spans="1:17" s="483" customFormat="1">
      <c r="A9" s="481" t="s">
        <v>561</v>
      </c>
      <c r="B9" s="482">
        <f>transport!B14</f>
        <v>42.904333652565747</v>
      </c>
      <c r="C9" s="482">
        <f>transport!C14</f>
        <v>0</v>
      </c>
      <c r="D9" s="482">
        <f>transport!D14</f>
        <v>147.64279249848866</v>
      </c>
      <c r="E9" s="482">
        <f>transport!E14</f>
        <v>213.71128316273493</v>
      </c>
      <c r="F9" s="482">
        <f>transport!F14</f>
        <v>0</v>
      </c>
      <c r="G9" s="482">
        <f>transport!G14</f>
        <v>77881.25188671505</v>
      </c>
      <c r="H9" s="482">
        <f>transport!H14</f>
        <v>16898.966904879217</v>
      </c>
      <c r="I9" s="482">
        <f>transport!I14</f>
        <v>0</v>
      </c>
      <c r="J9" s="482">
        <f>transport!J14</f>
        <v>0</v>
      </c>
      <c r="K9" s="482">
        <f>transport!K14</f>
        <v>0</v>
      </c>
      <c r="L9" s="482">
        <f>transport!L14</f>
        <v>0</v>
      </c>
      <c r="M9" s="482">
        <f>transport!M14</f>
        <v>5051.8132482545343</v>
      </c>
      <c r="N9" s="482">
        <f>transport!N14</f>
        <v>0</v>
      </c>
      <c r="O9" s="482">
        <f>transport!O14</f>
        <v>0</v>
      </c>
      <c r="P9" s="482">
        <f>transport!P14</f>
        <v>0</v>
      </c>
      <c r="Q9" s="481">
        <f>SUM(B9:P9)</f>
        <v>100236.29044916258</v>
      </c>
    </row>
    <row r="10" spans="1:17">
      <c r="A10" s="477" t="s">
        <v>551</v>
      </c>
      <c r="B10" s="478">
        <f>transport!B54</f>
        <v>0</v>
      </c>
      <c r="C10" s="478">
        <f>transport!C54</f>
        <v>0</v>
      </c>
      <c r="D10" s="478">
        <f>transport!D54</f>
        <v>0</v>
      </c>
      <c r="E10" s="478">
        <f>transport!E54</f>
        <v>0</v>
      </c>
      <c r="F10" s="478">
        <f>transport!F54</f>
        <v>0</v>
      </c>
      <c r="G10" s="478">
        <f>transport!G54</f>
        <v>2116.587454859437</v>
      </c>
      <c r="H10" s="478">
        <f>transport!H54</f>
        <v>0</v>
      </c>
      <c r="I10" s="478">
        <f>transport!I54</f>
        <v>0</v>
      </c>
      <c r="J10" s="478">
        <f>transport!J54</f>
        <v>0</v>
      </c>
      <c r="K10" s="478">
        <f>transport!K54</f>
        <v>0</v>
      </c>
      <c r="L10" s="478">
        <f>transport!L54</f>
        <v>0</v>
      </c>
      <c r="M10" s="478">
        <f>transport!M54</f>
        <v>120.21282359902193</v>
      </c>
      <c r="N10" s="478">
        <f>transport!N54</f>
        <v>0</v>
      </c>
      <c r="O10" s="478">
        <f>transport!O54</f>
        <v>0</v>
      </c>
      <c r="P10" s="479">
        <f>transport!P54</f>
        <v>0</v>
      </c>
      <c r="Q10" s="477">
        <f t="shared" si="0"/>
        <v>2236.8002784584587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32303.546411665749</v>
      </c>
      <c r="C14" s="488">
        <f t="shared" ref="C14:Q14" ca="1" si="1">SUM(C4:C13)</f>
        <v>0</v>
      </c>
      <c r="D14" s="488">
        <f t="shared" ca="1" si="1"/>
        <v>23972.08477119849</v>
      </c>
      <c r="E14" s="488">
        <f t="shared" si="1"/>
        <v>8710.4975569928047</v>
      </c>
      <c r="F14" s="488">
        <f t="shared" ca="1" si="1"/>
        <v>57666.433646574282</v>
      </c>
      <c r="G14" s="488">
        <f t="shared" si="1"/>
        <v>79997.839341574494</v>
      </c>
      <c r="H14" s="488">
        <f t="shared" si="1"/>
        <v>16898.966904879217</v>
      </c>
      <c r="I14" s="488">
        <f t="shared" si="1"/>
        <v>0</v>
      </c>
      <c r="J14" s="488">
        <f t="shared" si="1"/>
        <v>2041.9661966230312</v>
      </c>
      <c r="K14" s="488">
        <f t="shared" si="1"/>
        <v>0</v>
      </c>
      <c r="L14" s="488">
        <f t="shared" ca="1" si="1"/>
        <v>0</v>
      </c>
      <c r="M14" s="488">
        <f t="shared" si="1"/>
        <v>5172.0260718535565</v>
      </c>
      <c r="N14" s="488">
        <f t="shared" ca="1" si="1"/>
        <v>13553.540956733816</v>
      </c>
      <c r="O14" s="488">
        <f t="shared" si="1"/>
        <v>214.17666666666668</v>
      </c>
      <c r="P14" s="489">
        <f t="shared" si="1"/>
        <v>1010.5333333333333</v>
      </c>
      <c r="Q14" s="489">
        <f t="shared" ca="1" si="1"/>
        <v>241541.61185809545</v>
      </c>
    </row>
    <row r="16" spans="1:17">
      <c r="A16" s="491" t="s">
        <v>556</v>
      </c>
      <c r="B16" s="841">
        <f ca="1">huishoudens!B10</f>
        <v>0.19614066917871634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3759.0136683386727</v>
      </c>
      <c r="C21" s="478">
        <f t="shared" ref="C21:C30" ca="1" si="3">C4*$C$16</f>
        <v>0</v>
      </c>
      <c r="D21" s="478">
        <f t="shared" ref="D21:D30" si="4">D4*$D$16</f>
        <v>3828.0372488797998</v>
      </c>
      <c r="E21" s="478">
        <f t="shared" ref="E21:E30" si="5">E4*$E$16</f>
        <v>1825.9300046353992</v>
      </c>
      <c r="F21" s="478">
        <f t="shared" ref="F21:F30" si="6">F4*$F$16</f>
        <v>13369.524113867912</v>
      </c>
      <c r="G21" s="478">
        <f t="shared" ref="G21:G30" si="7">G4*$G$16</f>
        <v>0</v>
      </c>
      <c r="H21" s="478">
        <f t="shared" ref="H21:H30" si="8">H4*$H$16</f>
        <v>0</v>
      </c>
      <c r="I21" s="478">
        <f t="shared" ref="I21:I30" si="9">I4*$I$16</f>
        <v>0</v>
      </c>
      <c r="J21" s="478">
        <f t="shared" ref="J21:J30" si="10">J4*$J$16</f>
        <v>659.0578234157274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23441.562859137513</v>
      </c>
    </row>
    <row r="22" spans="1:17">
      <c r="A22" s="477" t="s">
        <v>156</v>
      </c>
      <c r="B22" s="478">
        <f t="shared" ca="1" si="2"/>
        <v>2027.7421427887136</v>
      </c>
      <c r="C22" s="478">
        <f t="shared" ca="1" si="3"/>
        <v>0</v>
      </c>
      <c r="D22" s="478">
        <f t="shared" ca="1" si="4"/>
        <v>834.38907896960006</v>
      </c>
      <c r="E22" s="478">
        <f t="shared" si="5"/>
        <v>50.814240702722394</v>
      </c>
      <c r="F22" s="478">
        <f t="shared" ca="1" si="6"/>
        <v>498.46478607600847</v>
      </c>
      <c r="G22" s="478">
        <f t="shared" si="7"/>
        <v>0</v>
      </c>
      <c r="H22" s="478">
        <f t="shared" si="8"/>
        <v>0</v>
      </c>
      <c r="I22" s="478">
        <f t="shared" si="9"/>
        <v>0</v>
      </c>
      <c r="J22" s="478">
        <f t="shared" si="10"/>
        <v>6.2232944866185943E-3</v>
      </c>
      <c r="K22" s="478">
        <f t="shared" si="11"/>
        <v>0</v>
      </c>
      <c r="L22" s="478">
        <f t="shared" ca="1" si="12"/>
        <v>0</v>
      </c>
      <c r="M22" s="478">
        <f t="shared" si="13"/>
        <v>0</v>
      </c>
      <c r="N22" s="478">
        <f t="shared" ca="1" si="14"/>
        <v>0</v>
      </c>
      <c r="O22" s="478">
        <f t="shared" si="15"/>
        <v>0</v>
      </c>
      <c r="P22" s="479">
        <f t="shared" si="16"/>
        <v>0</v>
      </c>
      <c r="Q22" s="477">
        <f t="shared" ref="Q22:Q30" ca="1" si="17">SUM(B22:P22)</f>
        <v>3411.416471831531</v>
      </c>
    </row>
    <row r="23" spans="1:17">
      <c r="A23" s="477" t="s">
        <v>194</v>
      </c>
      <c r="B23" s="478">
        <f t="shared" ca="1" si="2"/>
        <v>117.5849581879562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117.5849581879562</v>
      </c>
    </row>
    <row r="24" spans="1:17">
      <c r="A24" s="477" t="s">
        <v>112</v>
      </c>
      <c r="B24" s="478">
        <f t="shared" ca="1" si="2"/>
        <v>243.96149036237617</v>
      </c>
      <c r="C24" s="478">
        <f t="shared" ca="1" si="3"/>
        <v>0</v>
      </c>
      <c r="D24" s="478">
        <f t="shared" si="4"/>
        <v>60.705999904000002</v>
      </c>
      <c r="E24" s="478">
        <f t="shared" si="5"/>
        <v>8.298970103402258</v>
      </c>
      <c r="F24" s="478">
        <f t="shared" si="6"/>
        <v>1383.4979464563655</v>
      </c>
      <c r="G24" s="478">
        <f t="shared" si="7"/>
        <v>0</v>
      </c>
      <c r="H24" s="478">
        <f t="shared" si="8"/>
        <v>0</v>
      </c>
      <c r="I24" s="478">
        <f t="shared" si="9"/>
        <v>0</v>
      </c>
      <c r="J24" s="478">
        <f t="shared" si="10"/>
        <v>63.791219143172412</v>
      </c>
      <c r="K24" s="478">
        <f t="shared" si="11"/>
        <v>0</v>
      </c>
      <c r="L24" s="478">
        <f t="shared" si="12"/>
        <v>0</v>
      </c>
      <c r="M24" s="478">
        <f t="shared" si="13"/>
        <v>0</v>
      </c>
      <c r="N24" s="478">
        <f t="shared" si="14"/>
        <v>0</v>
      </c>
      <c r="O24" s="478">
        <f t="shared" si="15"/>
        <v>0</v>
      </c>
      <c r="P24" s="479">
        <f t="shared" si="16"/>
        <v>0</v>
      </c>
      <c r="Q24" s="477">
        <f t="shared" ca="1" si="17"/>
        <v>1760.2556259693163</v>
      </c>
    </row>
    <row r="25" spans="1:17">
      <c r="A25" s="477" t="s">
        <v>635</v>
      </c>
      <c r="B25" s="478">
        <f t="shared" ca="1" si="2"/>
        <v>179.32166563884218</v>
      </c>
      <c r="C25" s="478">
        <f t="shared" ca="1" si="3"/>
        <v>0</v>
      </c>
      <c r="D25" s="478">
        <f t="shared" si="4"/>
        <v>89.404951944000004</v>
      </c>
      <c r="E25" s="478">
        <f t="shared" si="5"/>
        <v>43.727268717902255</v>
      </c>
      <c r="F25" s="478">
        <f t="shared" si="6"/>
        <v>145.45093723505011</v>
      </c>
      <c r="G25" s="478">
        <f t="shared" si="7"/>
        <v>0</v>
      </c>
      <c r="H25" s="478">
        <f t="shared" si="8"/>
        <v>0</v>
      </c>
      <c r="I25" s="478">
        <f t="shared" si="9"/>
        <v>0</v>
      </c>
      <c r="J25" s="478">
        <f t="shared" si="10"/>
        <v>7.6775116650515938E-4</v>
      </c>
      <c r="K25" s="478">
        <f t="shared" si="11"/>
        <v>0</v>
      </c>
      <c r="L25" s="478">
        <f t="shared" si="12"/>
        <v>0</v>
      </c>
      <c r="M25" s="478">
        <f t="shared" si="13"/>
        <v>0</v>
      </c>
      <c r="N25" s="478">
        <f t="shared" si="14"/>
        <v>0</v>
      </c>
      <c r="O25" s="478">
        <f t="shared" si="15"/>
        <v>0</v>
      </c>
      <c r="P25" s="479">
        <f t="shared" si="16"/>
        <v>0</v>
      </c>
      <c r="Q25" s="477">
        <f t="shared" ca="1" si="17"/>
        <v>457.90559128696106</v>
      </c>
    </row>
    <row r="26" spans="1:17" s="483" customFormat="1">
      <c r="A26" s="481" t="s">
        <v>561</v>
      </c>
      <c r="B26" s="835">
        <f t="shared" ca="1" si="2"/>
        <v>8.4152847132811637</v>
      </c>
      <c r="C26" s="482">
        <f t="shared" ca="1" si="3"/>
        <v>0</v>
      </c>
      <c r="D26" s="482">
        <f t="shared" si="4"/>
        <v>29.823844084694713</v>
      </c>
      <c r="E26" s="482">
        <f t="shared" si="5"/>
        <v>48.51246127794083</v>
      </c>
      <c r="F26" s="482">
        <f t="shared" si="6"/>
        <v>0</v>
      </c>
      <c r="G26" s="482">
        <f t="shared" si="7"/>
        <v>20794.29425375292</v>
      </c>
      <c r="H26" s="482">
        <f t="shared" si="8"/>
        <v>4207.8427593149245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25088.888603143761</v>
      </c>
    </row>
    <row r="27" spans="1:17">
      <c r="A27" s="477" t="s">
        <v>551</v>
      </c>
      <c r="B27" s="478">
        <f t="shared" ca="1" si="2"/>
        <v>0</v>
      </c>
      <c r="C27" s="478">
        <f t="shared" ca="1" si="3"/>
        <v>0</v>
      </c>
      <c r="D27" s="478">
        <f t="shared" si="4"/>
        <v>0</v>
      </c>
      <c r="E27" s="478">
        <f t="shared" si="5"/>
        <v>0</v>
      </c>
      <c r="F27" s="478">
        <f t="shared" si="6"/>
        <v>0</v>
      </c>
      <c r="G27" s="478">
        <f t="shared" si="7"/>
        <v>565.12885044746974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565.12885044746974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6336.0392100298423</v>
      </c>
      <c r="C31" s="488">
        <f t="shared" ca="1" si="18"/>
        <v>0</v>
      </c>
      <c r="D31" s="488">
        <f t="shared" ca="1" si="18"/>
        <v>4842.3611237820951</v>
      </c>
      <c r="E31" s="488">
        <f t="shared" si="18"/>
        <v>1977.2829454373671</v>
      </c>
      <c r="F31" s="488">
        <f t="shared" ca="1" si="18"/>
        <v>15396.937783635336</v>
      </c>
      <c r="G31" s="488">
        <f t="shared" si="18"/>
        <v>21359.423104200388</v>
      </c>
      <c r="H31" s="488">
        <f t="shared" si="18"/>
        <v>4207.8427593149245</v>
      </c>
      <c r="I31" s="488">
        <f t="shared" si="18"/>
        <v>0</v>
      </c>
      <c r="J31" s="488">
        <f t="shared" si="18"/>
        <v>722.85603360455286</v>
      </c>
      <c r="K31" s="488">
        <f t="shared" si="18"/>
        <v>0</v>
      </c>
      <c r="L31" s="488">
        <f t="shared" ca="1" si="18"/>
        <v>0</v>
      </c>
      <c r="M31" s="488">
        <f t="shared" si="18"/>
        <v>0</v>
      </c>
      <c r="N31" s="488">
        <f t="shared" ca="1" si="18"/>
        <v>0</v>
      </c>
      <c r="O31" s="488">
        <f t="shared" si="18"/>
        <v>0</v>
      </c>
      <c r="P31" s="489">
        <f t="shared" si="18"/>
        <v>0</v>
      </c>
      <c r="Q31" s="489">
        <f t="shared" ca="1" si="18"/>
        <v>54842.742960004507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0.19614066917871634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0.19614066917871634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0.19614066917871634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2018-09-06T12:47:22Z</dcterms:modified>
</cp:coreProperties>
</file>