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31" l="1"/>
  <c r="E7"/>
  <c r="E24" s="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19" l="1"/>
  <c r="C19" s="1"/>
  <c r="D35" i="14" s="1"/>
  <c r="C29" i="20"/>
  <c r="C10" i="17"/>
  <c r="C12" s="1"/>
  <c r="D48" i="14" s="1"/>
  <c r="Q5" i="48"/>
  <c r="C16" i="22"/>
  <c r="O13" i="14"/>
  <c r="O15" s="1"/>
  <c r="C10" i="13"/>
  <c r="C16" i="48" s="1"/>
  <c r="C30" s="1"/>
  <c r="F41" i="14"/>
  <c r="F53" s="1"/>
  <c r="C17" i="49"/>
  <c r="C56" i="22"/>
  <c r="C58" s="1"/>
  <c r="D44" i="14" s="1"/>
  <c r="D46" s="1"/>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C23" i="48"/>
  <c r="C24"/>
  <c r="C27"/>
  <c r="C28"/>
  <c r="C22"/>
  <c r="C25"/>
  <c r="C29"/>
  <c r="C21"/>
  <c r="C26"/>
  <c r="R13" i="14"/>
  <c r="R15" s="1"/>
  <c r="F25" i="48"/>
  <c r="F31" s="1"/>
  <c r="F14"/>
  <c r="D41" i="14" l="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<sst xmlns="http://schemas.openxmlformats.org/spreadsheetml/2006/main" count="1923" uniqueCount="816">
  <si>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</si>
  <si>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</si>
  <si>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</si>
  <si>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</si>
  <si>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</si>
  <si>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</si>
  <si>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</si>
  <si>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</si>
  <si>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</si>
  <si>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</si>
  <si>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</si>
  <si>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</si>
  <si>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</si>
  <si>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</si>
  <si>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</si>
  <si>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</si>
  <si>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</si>
  <si>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</si>
  <si>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</si>
  <si>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</si>
  <si>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</si>
  <si>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</si>
  <si>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</si>
  <si>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</si>
  <si>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</si>
  <si>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</si>
  <si>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</si>
  <si>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</si>
  <si>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</si>
  <si>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</si>
  <si>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</si>
  <si>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</si>
  <si>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</si>
  <si>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</si>
  <si>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</si>
  <si>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</si>
  <si>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</si>
  <si>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</si>
  <si>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</si>
  <si>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</si>
  <si>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</si>
  <si>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</si>
  <si>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</si>
  <si>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</si>
  <si>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</si>
  <si>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</si>
  <si>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</si>
  <si>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</si>
  <si>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</si>
  <si>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</si>
  <si>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</si>
  <si>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</si>
  <si>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</si>
  <si>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</si>
  <si>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</si>
  <si>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</si>
  <si>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</si>
  <si>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</si>
  <si>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</si>
  <si>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</si>
  <si>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</si>
  <si>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</si>
  <si>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</si>
  <si>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</si>
  <si>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</si>
  <si>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</si>
  <si>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</si>
  <si>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</si>
  <si>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</si>
  <si>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</si>
  <si>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</si>
  <si>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</si>
  <si>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</si>
  <si>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</si>
  <si>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</si>
  <si>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</si>
  <si>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</si>
  <si>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</si>
  <si>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</si>
  <si>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</si>
  <si>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</si>
  <si>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</si>
  <si>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</si>
  <si>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</si>
  <si>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</si>
  <si>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</si>
  <si>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</si>
  <si>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</si>
  <si>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</si>
  <si>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</si>
  <si>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</si>
  <si>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</si>
  <si>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</si>
  <si>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</si>
  <si>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</si>
  <si>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</si>
  <si>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</si>
  <si>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</si>
  <si>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</si>
  <si>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</si>
  <si>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</si>
  <si>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</si>
  <si>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</si>
  <si>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</si>
  <si>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</si>
  <si>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</si>
  <si>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</si>
  <si>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</si>
  <si>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</si>
  <si>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</si>
  <si>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</si>
  <si>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</si>
  <si>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</si>
  <si>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</si>
  <si>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</si>
  <si>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</si>
  <si>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</si>
  <si>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</si>
  <si>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</si>
  <si>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</si>
  <si>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</si>
  <si>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</si>
  <si>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</si>
  <si>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</si>
  <si>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</si>
  <si>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</si>
  <si>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</si>
  <si>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</si>
  <si>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</si>
  <si>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</si>
  <si>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</si>
  <si>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</si>
  <si>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</si>
  <si>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</si>
  <si>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</si>
  <si>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</si>
  <si>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</si>
  <si>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</si>
  <si>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</si>
  <si>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</si>
  <si>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</si>
  <si>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</si>
  <si>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</si>
  <si>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</si>
  <si>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</si>
  <si>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</si>
  <si>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</si>
  <si>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</si>
  <si>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</si>
  <si>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</si>
  <si>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</si>
  <si>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</si>
  <si>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</si>
  <si>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</si>
  <si>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</si>
  <si>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</si>
  <si>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</si>
  <si>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</si>
  <si>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</si>
  <si>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</si>
  <si>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</si>
  <si>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</si>
  <si>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</si>
  <si>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</si>
  <si>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</si>
  <si>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</si>
  <si>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</si>
  <si>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</si>
  <si>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</si>
  <si>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</si>
  <si>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</si>
  <si>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</si>
  <si>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</si>
  <si>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</si>
  <si>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</si>
  <si>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</si>
  <si>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</si>
  <si>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</si>
  <si>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</si>
  <si>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</si>
  <si>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</si>
  <si>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</si>
  <si>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</si>
  <si>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</si>
  <si>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</si>
  <si>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</si>
  <si>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</si>
  <si>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</si>
  <si>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</si>
  <si>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</si>
  <si>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</si>
  <si>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</si>
  <si>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</si>
  <si>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</si>
  <si>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</si>
  <si>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</si>
  <si>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</si>
  <si>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</si>
  <si>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</si>
  <si>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</si>
  <si>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</si>
  <si>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</si>
  <si>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</si>
  <si>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</si>
  <si>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</si>
  <si>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</si>
  <si>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</si>
  <si>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</si>
  <si>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</si>
  <si>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</si>
  <si>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</si>
  <si>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</si>
  <si>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</si>
  <si>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</si>
  <si>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</si>
  <si>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</si>
  <si>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</si>
  <si>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</si>
  <si>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</si>
  <si>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</si>
  <si>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</si>
  <si>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</si>
  <si>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</si>
  <si>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</si>
  <si>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</si>
  <si>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</si>
  <si>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</si>
  <si>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</si>
  <si>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</si>
  <si>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</si>
  <si>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</si>
  <si>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</si>
  <si>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</si>
  <si>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</si>
  <si>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</si>
  <si>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</si>
  <si>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</si>
  <si>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</si>
  <si>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</si>
  <si>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</si>
  <si>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</si>
  <si>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</si>
  <si>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</si>
  <si>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</si>
  <si>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</si>
  <si>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</si>
  <si>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</si>
  <si>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</si>
  <si>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</si>
  <si>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</si>
  <si>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</si>
  <si>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</si>
  <si>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</si>
  <si>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</si>
  <si>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</si>
  <si>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</si>
  <si>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</si>
  <si>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</si>
  <si>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</si>
  <si>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</si>
  <si>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</si>
  <si>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</si>
  <si>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</si>
  <si>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</si>
  <si>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</si>
  <si>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</si>
  <si>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</si>
  <si>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</si>
  <si>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</si>
  <si>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</si>
  <si>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</si>
  <si>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</si>
  <si>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</si>
  <si>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</si>
  <si>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</si>
  <si>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</si>
  <si>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</si>
  <si>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</si>
  <si>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</si>
  <si>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</si>
  <si>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</si>
  <si>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</si>
  <si>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</si>
  <si>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</si>
  <si>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</si>
  <si>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</si>
  <si>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</si>
  <si>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</si>
  <si>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</si>
  <si>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</si>
  <si>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</si>
  <si>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</si>
  <si>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</si>
  <si>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</si>
  <si>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</si>
  <si>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</si>
  <si>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</si>
  <si>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</si>
  <si>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</si>
  <si>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</si>
  <si>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</si>
  <si>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</si>
  <si>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</si>
  <si>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</si>
  <si>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</si>
  <si>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</si>
  <si>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</si>
  <si>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</si>
  <si>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</si>
  <si>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</si>
  <si>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</si>
  <si>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</si>
  <si>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</si>
  <si>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</si>
  <si>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</si>
  <si>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</si>
  <si>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</si>
  <si>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</si>
  <si>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</si>
  <si>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</si>
  <si>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</si>
  <si>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</si>
  <si>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</si>
  <si>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</si>
  <si>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</si>
  <si>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</si>
  <si>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</si>
  <si>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</si>
  <si>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</si>
  <si>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</si>
  <si>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</si>
  <si>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</si>
  <si>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</si>
  <si>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</si>
  <si>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</si>
  <si>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</si>
  <si>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</si>
  <si>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</si>
  <si>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</si>
  <si>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</si>
  <si>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</si>
  <si>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</si>
  <si>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</si>
  <si>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</si>
  <si>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</si>
  <si>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</si>
  <si>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</si>
  <si>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</si>
  <si>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</si>
  <si>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</si>
  <si>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</si>
  <si>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</si>
  <si>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</si>
  <si>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</si>
  <si>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</si>
  <si>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</si>
  <si>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</si>
  <si>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</si>
  <si>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</si>
  <si>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</si>
  <si>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</si>
  <si>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</si>
  <si>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</si>
  <si>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</si>
  <si>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</si>
  <si>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</si>
  <si>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</si>
  <si>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</si>
  <si>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</si>
  <si>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</si>
  <si>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</si>
  <si>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</si>
  <si>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</si>
  <si>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</si>
  <si>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</si>
  <si>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</si>
  <si>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</si>
  <si>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</si>
  <si>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</si>
  <si>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</si>
  <si>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</si>
  <si>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</si>
  <si>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</si>
  <si>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</si>
  <si>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</si>
  <si>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</si>
  <si>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</si>
  <si>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</si>
  <si>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</si>
  <si>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</si>
  <si>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</si>
  <si>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</si>
  <si>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</si>
  <si>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</si>
  <si>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</si>
  <si>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</si>
  <si>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</si>
  <si>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</si>
  <si>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</si>
  <si>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</si>
  <si>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</si>
  <si>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</si>
  <si>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</si>
  <si>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</si>
  <si>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</si>
  <si>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</si>
  <si>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</si>
  <si>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</si>
  <si>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</si>
  <si>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</si>
  <si>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</si>
  <si>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</si>
  <si>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</si>
  <si>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</si>
  <si>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</si>
  <si>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</si>
  <si>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</si>
  <si>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</si>
  <si>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</si>
  <si>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</si>
  <si>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</si>
  <si>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</si>
  <si>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</si>
  <si>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</si>
  <si>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</si>
  <si>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</si>
  <si>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</si>
  <si>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</si>
  <si>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</si>
  <si>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</si>
  <si>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</si>
  <si>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</si>
  <si>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</si>
  <si>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</si>
  <si>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</si>
  <si>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</si>
  <si>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</si>
  <si>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</si>
  <si>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</si>
  <si>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</si>
  <si>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</si>
  <si>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</si>
  <si>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</si>
  <si>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</si>
  <si>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</si>
  <si>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</si>
  <si>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</si>
  <si>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</si>
  <si>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</si>
  <si>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</si>
  <si>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</si>
  <si>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</si>
  <si>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</si>
  <si>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</si>
  <si>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</si>
  <si>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</si>
  <si>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</si>
  <si>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</si>
  <si>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</si>
  <si>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</si>
  <si>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</si>
  <si>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</si>
  <si>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</si>
  <si>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</si>
  <si>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</si>
  <si>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</si>
  <si>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</si>
  <si>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</si>
  <si>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</si>
  <si>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</si>
  <si>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</si>
  <si>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</si>
  <si>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</si>
  <si>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</si>
  <si>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</si>
  <si>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</si>
  <si>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</si>
  <si>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</si>
  <si>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</si>
  <si>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</si>
  <si>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</si>
  <si>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</si>
  <si>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</si>
  <si>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</si>
  <si>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</si>
  <si>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</si>
  <si>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</si>
  <si>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</si>
  <si>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</si>
  <si>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</si>
  <si>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</si>
  <si>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</si>
  <si>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</si>
  <si>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</si>
  <si>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</si>
  <si>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</si>
  <si>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</si>
  <si>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</si>
  <si>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</si>
  <si>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</si>
  <si>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</si>
  <si>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</si>
  <si>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</si>
  <si>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</si>
  <si>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</si>
  <si>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</si>
  <si>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</si>
  <si>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</si>
  <si>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</si>
  <si>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</si>
  <si>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</si>
  <si>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</si>
  <si>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</si>
  <si>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</si>
  <si>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</si>
  <si>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</si>
  <si>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</si>
  <si>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</si>
  <si>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</si>
  <si>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</si>
  <si>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</si>
  <si>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</si>
  <si>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</si>
  <si>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</si>
  <si>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</si>
  <si>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</si>
  <si>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</si>
  <si>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</si>
  <si>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</si>
  <si>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</si>
  <si>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</si>
  <si>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</si>
  <si>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</si>
  <si>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</si>
  <si>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</si>
  <si>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</si>
  <si>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</si>
  <si>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</si>
  <si>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</si>
  <si>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</si>
  <si>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</si>
  <si>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</si>
  <si>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</si>
  <si>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</si>
  <si>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</si>
  <si>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</si>
  <si>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</si>
  <si>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</si>
  <si>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</si>
  <si>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</si>
  <si>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</si>
  <si>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</si>
  <si>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</si>
  <si>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</si>
  <si>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</si>
  <si>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</si>
  <si>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</si>
  <si>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</si>
  <si>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</si>
  <si>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</si>
  <si>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</si>
  <si>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</si>
  <si>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</si>
  <si>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</si>
  <si>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</si>
  <si>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</si>
  <si>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</si>
  <si>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</si>
  <si>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</si>
  <si>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</si>
  <si>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</si>
  <si>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</si>
  <si>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</si>
  <si>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</si>
  <si>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</si>
  <si>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</si>
  <si>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</si>
  <si>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</si>
  <si>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</si>
  <si>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</si>
  <si>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</si>
  <si>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</si>
  <si>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</si>
  <si>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</si>
  <si>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</si>
  <si>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</si>
  <si>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</si>
  <si>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</si>
  <si>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</si>
  <si>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</si>
  <si>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</si>
  <si>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</si>
  <si>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</si>
  <si>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</si>
  <si>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</si>
  <si>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</si>
  <si>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</si>
  <si>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</si>
  <si>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</si>
  <si>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</si>
  <si>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</si>
  <si>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</si>
  <si>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</si>
  <si>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</si>
  <si>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</si>
  <si>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</si>
  <si>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</si>
  <si>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</si>
  <si>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</si>
  <si>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</si>
  <si>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</si>
  <si>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</si>
  <si>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</si>
  <si>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</si>
  <si>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</si>
  <si>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</si>
  <si>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</si>
  <si>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</si>
  <si>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</si>
  <si>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</si>
  <si>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</si>
  <si>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</si>
  <si>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</si>
  <si>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</si>
  <si>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</si>
  <si>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</si>
  <si>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</si>
  <si>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</si>
  <si>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</si>
  <si>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</si>
  <si>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</si>
  <si>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</si>
  <si>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</si>
  <si>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</si>
  <si>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</si>
  <si>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</si>
  <si>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</si>
  <si>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</si>
  <si>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</si>
  <si>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</si>
  <si>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</si>
  <si>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</si>
  <si>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</si>
  <si>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</si>
  <si>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</si>
  <si>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</si>
  <si>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</si>
  <si>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</si>
  <si>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</si>
  <si>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</si>
  <si>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</si>
  <si>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</si>
  <si>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</si>
  <si>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</si>
  <si>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</si>
  <si>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</si>
  <si>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</si>
  <si>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</si>
  <si>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</si>
  <si>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</si>
  <si>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</si>
  <si>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</si>
  <si>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</si>
  <si>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</si>
  <si>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</si>
  <si>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</si>
  <si>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</si>
  <si>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</si>
  <si>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</si>
  <si>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</si>
  <si>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</si>
  <si>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</si>
  <si>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</si>
  <si>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</si>
  <si>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</si>
  <si>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</si>
  <si>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</si>
  <si>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</si>
  <si>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</si>
  <si>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</si>
  <si>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</si>
  <si>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</si>
  <si>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</si>
  <si>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</si>
  <si>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</si>
  <si>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</si>
  <si>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</si>
  <si>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</si>
  <si>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</si>
  <si>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</si>
  <si>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</si>
  <si>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</si>
  <si>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</si>
  <si>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</si>
  <si>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</si>
  <si>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</si>
  <si>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</si>
  <si>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</si>
  <si>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</si>
  <si>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</si>
  <si>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</si>
  <si>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</si>
  <si>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</si>
  <si>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</si>
  <si>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</si>
  <si>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</si>
  <si>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</si>
  <si>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</si>
  <si>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</si>
  <si>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</si>
  <si>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</si>
  <si>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</si>
  <si>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</si>
  <si>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</si>
  <si>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</si>
  <si>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</si>
  <si>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</si>
  <si>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</si>
  <si>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</si>
  <si>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</si>
  <si>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</si>
  <si>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</si>
  <si>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</si>
  <si>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</si>
  <si>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</si>
  <si>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</si>
  <si>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</si>
  <si>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</si>
  <si>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</si>
  <si>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</si>
  <si>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</si>
  <si>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</si>
  <si>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</si>
  <si>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</si>
  <si>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</si>
  <si>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</si>
  <si>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</si>
  <si>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</si>
  <si>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</si>
  <si>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</si>
  <si>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</si>
  <si>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</si>
  <si>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</si>
  <si>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</si>
  <si>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</si>
  <si>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</si>
  <si>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</si>
  <si>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</si>
  <si>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</si>
  <si>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</si>
  <si>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</si>
  <si>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</si>
  <si>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</si>
  <si>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</si>
  <si>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</si>
  <si>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</si>
  <si>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</si>
  <si>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</si>
  <si>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</si>
  <si>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</si>
  <si>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</si>
  <si>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</si>
  <si>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</si>
  <si>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</si>
  <si>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</si>
  <si>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</si>
  <si>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</si>
  <si>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</si>
  <si>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</si>
  <si>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</si>
  <si>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</si>
  <si>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</si>
  <si>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</si>
  <si>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</si>
  <si>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</si>
  <si>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</si>
  <si>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</si>
  <si>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</si>
  <si>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</si>
  <si>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</si>
  <si>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</si>
  <si>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</si>
  <si>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</si>
  <si>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</si>
  <si>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</si>
  <si>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</si>
  <si>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</si>
  <si>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</si>
  <si>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</si>
  <si>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</si>
  <si>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</si>
  <si>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</si>
  <si>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</si>
  <si>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</si>
  <si>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</si>
  <si>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</si>
  <si>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</si>
  <si>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</si>
  <si>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</si>
  <si>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</si>
  <si>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</si>
  <si>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24109</t>
  </si>
  <si>
    <t>TREMELO</t>
  </si>
  <si>
    <t>Eandis (januari 2018); Infrax (juni 2018)</t>
  </si>
  <si>
    <t>MOW (september 2017)</t>
  </si>
  <si>
    <t>referentietaak LNE (2017); Jaarverslag De Lijn (2016)</t>
  </si>
  <si>
    <t>VEA (april 2018)</t>
  </si>
  <si>
    <t>VEA (januari 2017)</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</si>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</sst>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134763.54823138099</c:v>
                </c:pt>
                <c:pt idx="1">
                  <c:v>25867.037368245379</c:v>
                </c:pt>
                <c:pt idx="2">
                  <c:v>996.36400000000003</c:v>
                </c:pt>
                <c:pt idx="3">
                  <c:v>10281.329831279572</c:v>
                </c:pt>
                <c:pt idx="4">
                  <c:v>3533.9880254267978</c:v>
                </c:pt>
                <c:pt idx="5">
                  <c:v>40906.374575065667</c:v>
                </c:pt>
                <c:pt idx="6">
                  <c:v>839.70610901761688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134763.54823138099</c:v>
                </c:pt>
                <c:pt idx="1">
                  <c:v>25867.037368245379</c:v>
                </c:pt>
                <c:pt idx="2">
                  <c:v>996.36400000000003</c:v>
                </c:pt>
                <c:pt idx="3">
                  <c:v>10281.329831279572</c:v>
                </c:pt>
                <c:pt idx="4">
                  <c:v>3533.9880254267978</c:v>
                </c:pt>
                <c:pt idx="5">
                  <c:v>40906.374575065667</c:v>
                </c:pt>
                <c:pt idx="6">
                  <c:v>839.70610901761688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29042.010154948293</c:v>
                </c:pt>
                <c:pt idx="1">
                  <c:v>5032.4183688940593</c:v>
                </c:pt>
                <c:pt idx="2">
                  <c:v>196.82023028980194</c:v>
                </c:pt>
                <c:pt idx="3">
                  <c:v>2580.3577573544048</c:v>
                </c:pt>
                <c:pt idx="4">
                  <c:v>688.17213221051418</c:v>
                </c:pt>
                <c:pt idx="5">
                  <c:v>10214.716948798829</c:v>
                </c:pt>
                <c:pt idx="6">
                  <c:v>212.15222148929848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58432"/>
      </c:barChart>
      <c:catAx>
        <c:axId val="183007488"/>
        <c:scaling>
          <c:orientation val="minMax"/>
        </c:scaling>
        <c:axPos val="b"/>
        <c:numFmt formatCode="General" sourceLinked="0"/>
        <c:tickLblPos val="nextTo"/>
        <c:crossAx val="183058432"/>
        <c:crosses val="autoZero"/>
        <c:auto val="1"/>
        <c:lblAlgn val="ctr"/>
        <c:lblOffset val="100"/>
      </c:catAx>
      <c:valAx>
        <c:axId val="183058432"/>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29042.010154948293</c:v>
                </c:pt>
                <c:pt idx="1">
                  <c:v>5032.4183688940593</c:v>
                </c:pt>
                <c:pt idx="2">
                  <c:v>196.82023028980194</c:v>
                </c:pt>
                <c:pt idx="3">
                  <c:v>2580.3577573544048</c:v>
                </c:pt>
                <c:pt idx="4">
                  <c:v>688.17213221051418</c:v>
                </c:pt>
                <c:pt idx="5">
                  <c:v>10214.716948798829</c:v>
                </c:pt>
                <c:pt idx="6">
                  <c:v>212.15222148929848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24109</v>
      </c>
      <c r="B6" s="415"/>
      <c r="C6" s="416"/>
    </row>
    <row r="7" spans="1:7" s="413" customFormat="1" ht="15.75" customHeight="1">
      <c r="A7" s="417" t="str">
        <f>txtMunicipality</f>
        <v>TREMELO</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11626.666424428127</v>
      </c>
      <c r="D10" s="718">
        <f ca="1">tertiair!C16</f>
        <v>126.5625</v>
      </c>
      <c r="E10" s="718">
        <f ca="1">tertiair!D16</f>
        <v>11796.549777850745</v>
      </c>
      <c r="F10" s="718">
        <f>tertiair!E16</f>
        <v>190.30483876523977</v>
      </c>
      <c r="G10" s="718">
        <f ca="1">tertiair!F16</f>
        <v>1896.6725197855326</v>
      </c>
      <c r="H10" s="718">
        <f>tertiair!G16</f>
        <v>0</v>
      </c>
      <c r="I10" s="718">
        <f>tertiair!H16</f>
        <v>0</v>
      </c>
      <c r="J10" s="718">
        <f>tertiair!I16</f>
        <v>0</v>
      </c>
      <c r="K10" s="718">
        <f>tertiair!J16</f>
        <v>3.0416828290257124E-2</v>
      </c>
      <c r="L10" s="718">
        <f>tertiair!K16</f>
        <v>0</v>
      </c>
      <c r="M10" s="718">
        <f ca="1">tertiair!L16</f>
        <v>0</v>
      </c>
      <c r="N10" s="718">
        <f>tertiair!M16</f>
        <v>0</v>
      </c>
      <c r="O10" s="718">
        <f ca="1">tertiair!N16</f>
        <v>1205.9848905874442</v>
      </c>
      <c r="P10" s="718">
        <f>tertiair!O16</f>
        <v>1.5633333333333335</v>
      </c>
      <c r="Q10" s="719">
        <f>tertiair!P16</f>
        <v>19.066666666666666</v>
      </c>
      <c r="R10" s="721">
        <f ca="1">SUM(C10:Q10)</f>
        <v>26863.401368245381</v>
      </c>
      <c r="S10" s="67"/>
    </row>
    <row r="11" spans="1:19" s="474" customFormat="1">
      <c r="A11" s="870" t="s">
        <v>225</v>
      </c>
      <c r="B11" s="875"/>
      <c r="C11" s="718">
        <f>huishoudens!B8</f>
        <v>27291.193292354415</v>
      </c>
      <c r="D11" s="718">
        <f>huishoudens!C8</f>
        <v>0</v>
      </c>
      <c r="E11" s="718">
        <f>huishoudens!D8</f>
        <v>33311.838733752367</v>
      </c>
      <c r="F11" s="718">
        <f>huishoudens!E8</f>
        <v>12546.622862558721</v>
      </c>
      <c r="G11" s="718">
        <f>huishoudens!F8</f>
        <v>52711.140430745407</v>
      </c>
      <c r="H11" s="718">
        <f>huishoudens!G8</f>
        <v>0</v>
      </c>
      <c r="I11" s="718">
        <f>huishoudens!H8</f>
        <v>0</v>
      </c>
      <c r="J11" s="718">
        <f>huishoudens!I8</f>
        <v>0</v>
      </c>
      <c r="K11" s="718">
        <f>huishoudens!J8</f>
        <v>0</v>
      </c>
      <c r="L11" s="718">
        <f>huishoudens!K8</f>
        <v>0</v>
      </c>
      <c r="M11" s="718">
        <f>huishoudens!L8</f>
        <v>0</v>
      </c>
      <c r="N11" s="718">
        <f>huishoudens!M8</f>
        <v>0</v>
      </c>
      <c r="O11" s="718">
        <f>huishoudens!N8</f>
        <v>7789.2862453034386</v>
      </c>
      <c r="P11" s="718">
        <f>huishoudens!O8</f>
        <v>312.66666666666669</v>
      </c>
      <c r="Q11" s="719">
        <f>huishoudens!P8</f>
        <v>800.8</v>
      </c>
      <c r="R11" s="721">
        <f>SUM(C11:Q11)</f>
        <v>134763.54823138099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1225.1146841069942</v>
      </c>
      <c r="D13" s="718">
        <f>industrie!C18</f>
        <v>0</v>
      </c>
      <c r="E13" s="718">
        <f>industrie!D18</f>
        <v>903.77704685593494</v>
      </c>
      <c r="F13" s="718">
        <f>industrie!E18</f>
        <v>269.36688793235965</v>
      </c>
      <c r="G13" s="718">
        <f>industrie!F18</f>
        <v>757.82093966059369</v>
      </c>
      <c r="H13" s="718">
        <f>industrie!G18</f>
        <v>0</v>
      </c>
      <c r="I13" s="718">
        <f>industrie!H18</f>
        <v>0</v>
      </c>
      <c r="J13" s="718">
        <f>industrie!I18</f>
        <v>0</v>
      </c>
      <c r="K13" s="718">
        <f>industrie!J18</f>
        <v>0.33164271669138196</v>
      </c>
      <c r="L13" s="718">
        <f>industrie!K18</f>
        <v>0</v>
      </c>
      <c r="M13" s="718">
        <f>industrie!L18</f>
        <v>0</v>
      </c>
      <c r="N13" s="718">
        <f>industrie!M18</f>
        <v>0</v>
      </c>
      <c r="O13" s="718">
        <f>industrie!N18</f>
        <v>377.5768241542238</v>
      </c>
      <c r="P13" s="718">
        <f>industrie!O18</f>
        <v>0</v>
      </c>
      <c r="Q13" s="719">
        <f>industrie!P18</f>
        <v>0</v>
      </c>
      <c r="R13" s="721">
        <f>SUM(C13:Q13)</f>
        <v>3533.9880254267978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40142.974400889536</v>
      </c>
      <c r="D15" s="723">
        <f t="shared" ref="D15:Q15" ca="1" si="0">SUM(D9:D14)</f>
        <v>126.5625</v>
      </c>
      <c r="E15" s="723">
        <f t="shared" ca="1" si="0"/>
        <v>46012.165558459048</v>
      </c>
      <c r="F15" s="723">
        <f t="shared" si="0"/>
        <v>13006.29458925632</v>
      </c>
      <c r="G15" s="723">
        <f t="shared" ca="1" si="0"/>
        <v>55365.633890191537</v>
      </c>
      <c r="H15" s="723">
        <f t="shared" si="0"/>
        <v>0</v>
      </c>
      <c r="I15" s="723">
        <f t="shared" si="0"/>
        <v>0</v>
      </c>
      <c r="J15" s="723">
        <f t="shared" si="0"/>
        <v>0</v>
      </c>
      <c r="K15" s="723">
        <f t="shared" si="0"/>
        <v>0.36205954498163906</v>
      </c>
      <c r="L15" s="723">
        <f t="shared" si="0"/>
        <v>0</v>
      </c>
      <c r="M15" s="723">
        <f t="shared" ca="1" si="0"/>
        <v>0</v>
      </c>
      <c r="N15" s="723">
        <f t="shared" si="0"/>
        <v>0</v>
      </c>
      <c r="O15" s="723">
        <f t="shared" ca="1" si="0"/>
        <v>9372.8479600451064</v>
      </c>
      <c r="P15" s="723">
        <f t="shared" si="0"/>
        <v>314.23</v>
      </c>
      <c r="Q15" s="724">
        <f t="shared" si="0"/>
        <v>819.86666666666667</v>
      </c>
      <c r="R15" s="725">
        <f ca="1">SUM(R9:R14)</f>
        <v>165160.93762505316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794.57760857415155</v>
      </c>
      <c r="I18" s="718">
        <f>transport!H54</f>
        <v>0</v>
      </c>
      <c r="J18" s="718">
        <f>transport!I54</f>
        <v>0</v>
      </c>
      <c r="K18" s="718">
        <f>transport!J54</f>
        <v>0</v>
      </c>
      <c r="L18" s="718">
        <f>transport!K54</f>
        <v>0</v>
      </c>
      <c r="M18" s="718">
        <f>transport!L54</f>
        <v>0</v>
      </c>
      <c r="N18" s="718">
        <f>transport!M54</f>
        <v>45.128500443465285</v>
      </c>
      <c r="O18" s="718">
        <f>transport!N54</f>
        <v>0</v>
      </c>
      <c r="P18" s="718">
        <f>transport!O54</f>
        <v>0</v>
      </c>
      <c r="Q18" s="719">
        <f>transport!P54</f>
        <v>0</v>
      </c>
      <c r="R18" s="721">
        <f>SUM(C18:Q18)</f>
        <v>839.70610901761688</v>
      </c>
      <c r="S18" s="67"/>
    </row>
    <row r="19" spans="1:19" s="474" customFormat="1" ht="15" thickBot="1">
      <c r="A19" s="870" t="s">
        <v>307</v>
      </c>
      <c r="B19" s="875"/>
      <c r="C19" s="727">
        <f>transport!B14</f>
        <v>15.997637949779183</v>
      </c>
      <c r="D19" s="727">
        <f>transport!C14</f>
        <v>0</v>
      </c>
      <c r="E19" s="727">
        <f>transport!D14</f>
        <v>81.346290739365983</v>
      </c>
      <c r="F19" s="727">
        <f>transport!E14</f>
        <v>103.43463736750532</v>
      </c>
      <c r="G19" s="727">
        <f>transport!F14</f>
        <v>0</v>
      </c>
      <c r="H19" s="727">
        <f>transport!G14</f>
        <v>29696.01785591722</v>
      </c>
      <c r="I19" s="727">
        <f>transport!H14</f>
        <v>9007.2627259827477</v>
      </c>
      <c r="J19" s="727">
        <f>transport!I14</f>
        <v>0</v>
      </c>
      <c r="K19" s="727">
        <f>transport!J14</f>
        <v>0</v>
      </c>
      <c r="L19" s="727">
        <f>transport!K14</f>
        <v>0</v>
      </c>
      <c r="M19" s="727">
        <f>transport!L14</f>
        <v>0</v>
      </c>
      <c r="N19" s="727">
        <f>transport!M14</f>
        <v>2002.3154271090466</v>
      </c>
      <c r="O19" s="727">
        <f>transport!N14</f>
        <v>0</v>
      </c>
      <c r="P19" s="727">
        <f>transport!O14</f>
        <v>0</v>
      </c>
      <c r="Q19" s="728">
        <f>transport!P14</f>
        <v>0</v>
      </c>
      <c r="R19" s="729">
        <f>SUM(C19:Q19)</f>
        <v>40906.374575065667</v>
      </c>
      <c r="S19" s="67"/>
    </row>
    <row r="20" spans="1:19" s="474" customFormat="1" ht="15.75" thickBot="1">
      <c r="A20" s="730" t="s">
        <v>230</v>
      </c>
      <c r="B20" s="878"/>
      <c r="C20" s="873">
        <f>SUM(C17:C19)</f>
        <v>15.997637949779183</v>
      </c>
      <c r="D20" s="731">
        <f t="shared" ref="D20:R20" si="1">SUM(D17:D19)</f>
        <v>0</v>
      </c>
      <c r="E20" s="731">
        <f t="shared" si="1"/>
        <v>81.346290739365983</v>
      </c>
      <c r="F20" s="731">
        <f t="shared" si="1"/>
        <v>103.43463736750532</v>
      </c>
      <c r="G20" s="731">
        <f t="shared" si="1"/>
        <v>0</v>
      </c>
      <c r="H20" s="731">
        <f t="shared" si="1"/>
        <v>30490.595464491373</v>
      </c>
      <c r="I20" s="731">
        <f t="shared" si="1"/>
        <v>9007.2627259827477</v>
      </c>
      <c r="J20" s="731">
        <f t="shared" si="1"/>
        <v>0</v>
      </c>
      <c r="K20" s="731">
        <f t="shared" si="1"/>
        <v>0</v>
      </c>
      <c r="L20" s="731">
        <f t="shared" si="1"/>
        <v>0</v>
      </c>
      <c r="M20" s="731">
        <f t="shared" si="1"/>
        <v>0</v>
      </c>
      <c r="N20" s="731">
        <f t="shared" si="1"/>
        <v>2047.4439275525119</v>
      </c>
      <c r="O20" s="731">
        <f t="shared" si="1"/>
        <v>0</v>
      </c>
      <c r="P20" s="731">
        <f t="shared" si="1"/>
        <v>0</v>
      </c>
      <c r="Q20" s="732">
        <f t="shared" si="1"/>
        <v>0</v>
      </c>
      <c r="R20" s="733">
        <f t="shared" si="1"/>
        <v>41746.080684083281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1741.8251520890001</v>
      </c>
      <c r="D22" s="727">
        <f>+landbouw!C8</f>
        <v>0</v>
      </c>
      <c r="E22" s="727">
        <f>+landbouw!D8</f>
        <v>979.60459909636404</v>
      </c>
      <c r="F22" s="727">
        <f>+landbouw!E8</f>
        <v>51.197561367969648</v>
      </c>
      <c r="G22" s="727">
        <f>+landbouw!F8</f>
        <v>7256.349460311867</v>
      </c>
      <c r="H22" s="727">
        <f>+landbouw!G8</f>
        <v>0</v>
      </c>
      <c r="I22" s="727">
        <f>+landbouw!H8</f>
        <v>0</v>
      </c>
      <c r="J22" s="727">
        <f>+landbouw!I8</f>
        <v>0</v>
      </c>
      <c r="K22" s="727">
        <f>+landbouw!J8</f>
        <v>252.35305841437133</v>
      </c>
      <c r="L22" s="727">
        <f>+landbouw!K8</f>
        <v>0</v>
      </c>
      <c r="M22" s="727">
        <f>+landbouw!L8</f>
        <v>0</v>
      </c>
      <c r="N22" s="727">
        <f>+landbouw!M8</f>
        <v>0</v>
      </c>
      <c r="O22" s="727">
        <f>+landbouw!N8</f>
        <v>0</v>
      </c>
      <c r="P22" s="727">
        <f>+landbouw!O8</f>
        <v>0</v>
      </c>
      <c r="Q22" s="728">
        <f>+landbouw!P8</f>
        <v>0</v>
      </c>
      <c r="R22" s="729">
        <f>SUM(C22:Q22)</f>
        <v>10281.329831279572</v>
      </c>
      <c r="S22" s="67"/>
    </row>
    <row r="23" spans="1:19" s="474" customFormat="1" ht="17.25" thickTop="1" thickBot="1">
      <c r="A23" s="734" t="s">
        <v>116</v>
      </c>
      <c r="B23" s="864"/>
      <c r="C23" s="735">
        <f ca="1">C20+C15+C22</f>
        <v>41900.797190928315</v>
      </c>
      <c r="D23" s="735">
        <f t="shared" ref="D23:Q23" ca="1" si="2">D20+D15+D22</f>
        <v>126.5625</v>
      </c>
      <c r="E23" s="735">
        <f t="shared" ca="1" si="2"/>
        <v>47073.116448294779</v>
      </c>
      <c r="F23" s="735">
        <f t="shared" si="2"/>
        <v>13160.926787991795</v>
      </c>
      <c r="G23" s="735">
        <f t="shared" ca="1" si="2"/>
        <v>62621.983350503404</v>
      </c>
      <c r="H23" s="735">
        <f t="shared" si="2"/>
        <v>30490.595464491373</v>
      </c>
      <c r="I23" s="735">
        <f t="shared" si="2"/>
        <v>9007.2627259827477</v>
      </c>
      <c r="J23" s="735">
        <f t="shared" si="2"/>
        <v>0</v>
      </c>
      <c r="K23" s="735">
        <f t="shared" si="2"/>
        <v>252.71511795935297</v>
      </c>
      <c r="L23" s="735">
        <f t="shared" si="2"/>
        <v>0</v>
      </c>
      <c r="M23" s="735">
        <f t="shared" ca="1" si="2"/>
        <v>0</v>
      </c>
      <c r="N23" s="735">
        <f t="shared" si="2"/>
        <v>2047.4439275525119</v>
      </c>
      <c r="O23" s="735">
        <f t="shared" ca="1" si="2"/>
        <v>9372.8479600451064</v>
      </c>
      <c r="P23" s="735">
        <f t="shared" si="2"/>
        <v>314.23</v>
      </c>
      <c r="Q23" s="736">
        <f t="shared" si="2"/>
        <v>819.86666666666667</v>
      </c>
      <c r="R23" s="737">
        <f ca="1">R20+R15+R22</f>
        <v>217188.34814041603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2296.71401531835</v>
      </c>
      <c r="D36" s="718">
        <f ca="1">tertiair!C20</f>
        <v>0</v>
      </c>
      <c r="E36" s="718">
        <f ca="1">tertiair!D20</f>
        <v>2382.9030551258506</v>
      </c>
      <c r="F36" s="718">
        <f>tertiair!E20</f>
        <v>43.199198399709431</v>
      </c>
      <c r="G36" s="718">
        <f ca="1">tertiair!F20</f>
        <v>506.41156278273724</v>
      </c>
      <c r="H36" s="718">
        <f>tertiair!G20</f>
        <v>0</v>
      </c>
      <c r="I36" s="718">
        <f>tertiair!H20</f>
        <v>0</v>
      </c>
      <c r="J36" s="718">
        <f>tertiair!I20</f>
        <v>0</v>
      </c>
      <c r="K36" s="718">
        <f>tertiair!J20</f>
        <v>1.0767557214751021E-2</v>
      </c>
      <c r="L36" s="718">
        <f>tertiair!K20</f>
        <v>0</v>
      </c>
      <c r="M36" s="718">
        <f ca="1">tertiair!L20</f>
        <v>0</v>
      </c>
      <c r="N36" s="718">
        <f>tertiair!M20</f>
        <v>0</v>
      </c>
      <c r="O36" s="718">
        <f ca="1">tertiair!N20</f>
        <v>0</v>
      </c>
      <c r="P36" s="718">
        <f>tertiair!O20</f>
        <v>0</v>
      </c>
      <c r="Q36" s="828">
        <f>tertiair!P20</f>
        <v>0</v>
      </c>
      <c r="R36" s="917">
        <f ca="1">SUM(C36:Q36)</f>
        <v>5229.2385991838619</v>
      </c>
    </row>
    <row r="37" spans="1:18">
      <c r="A37" s="885" t="s">
        <v>225</v>
      </c>
      <c r="B37" s="892"/>
      <c r="C37" s="718">
        <f ca="1">huishoudens!B12</f>
        <v>5391.0608459204605</v>
      </c>
      <c r="D37" s="718">
        <f ca="1">huishoudens!C12</f>
        <v>0</v>
      </c>
      <c r="E37" s="718">
        <f>huishoudens!D12</f>
        <v>6728.9914242179784</v>
      </c>
      <c r="F37" s="718">
        <f>huishoudens!E12</f>
        <v>2848.0833898008295</v>
      </c>
      <c r="G37" s="718">
        <f>huishoudens!F12</f>
        <v>14073.874495009024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29042.010154948293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242.00729277388237</v>
      </c>
      <c r="D39" s="718">
        <f ca="1">industrie!C22</f>
        <v>0</v>
      </c>
      <c r="E39" s="718">
        <f>industrie!D22</f>
        <v>182.56296346489887</v>
      </c>
      <c r="F39" s="718">
        <f>industrie!E22</f>
        <v>61.146283560645642</v>
      </c>
      <c r="G39" s="718">
        <f>industrie!F22</f>
        <v>202.33819088937852</v>
      </c>
      <c r="H39" s="718">
        <f>industrie!G22</f>
        <v>0</v>
      </c>
      <c r="I39" s="718">
        <f>industrie!H22</f>
        <v>0</v>
      </c>
      <c r="J39" s="718">
        <f>industrie!I22</f>
        <v>0</v>
      </c>
      <c r="K39" s="718">
        <f>industrie!J22</f>
        <v>0.11740152170874921</v>
      </c>
      <c r="L39" s="718">
        <f>industrie!K22</f>
        <v>0</v>
      </c>
      <c r="M39" s="718">
        <f>industrie!L22</f>
        <v>0</v>
      </c>
      <c r="N39" s="718">
        <f>industrie!M22</f>
        <v>0</v>
      </c>
      <c r="O39" s="718">
        <f>industrie!N22</f>
        <v>0</v>
      </c>
      <c r="P39" s="718">
        <f>industrie!O22</f>
        <v>0</v>
      </c>
      <c r="Q39" s="828">
        <f>industrie!P22</f>
        <v>0</v>
      </c>
      <c r="R39" s="918">
        <f ca="1">SUM(C39:Q39)</f>
        <v>688.17213221051418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7929.7821540126924</v>
      </c>
      <c r="D41" s="763">
        <f t="shared" ref="D41:R41" ca="1" si="4">SUM(D35:D40)</f>
        <v>0</v>
      </c>
      <c r="E41" s="763">
        <f t="shared" ca="1" si="4"/>
        <v>9294.457442808729</v>
      </c>
      <c r="F41" s="763">
        <f t="shared" si="4"/>
        <v>2952.4288717611848</v>
      </c>
      <c r="G41" s="763">
        <f t="shared" ca="1" si="4"/>
        <v>14782.624248681141</v>
      </c>
      <c r="H41" s="763">
        <f t="shared" si="4"/>
        <v>0</v>
      </c>
      <c r="I41" s="763">
        <f t="shared" si="4"/>
        <v>0</v>
      </c>
      <c r="J41" s="763">
        <f t="shared" si="4"/>
        <v>0</v>
      </c>
      <c r="K41" s="763">
        <f t="shared" si="4"/>
        <v>0.12816907892350024</v>
      </c>
      <c r="L41" s="763">
        <f t="shared" si="4"/>
        <v>0</v>
      </c>
      <c r="M41" s="763">
        <f t="shared" ca="1" si="4"/>
        <v>0</v>
      </c>
      <c r="N41" s="763">
        <f t="shared" si="4"/>
        <v>0</v>
      </c>
      <c r="O41" s="763">
        <f t="shared" ca="1" si="4"/>
        <v>0</v>
      </c>
      <c r="P41" s="763">
        <f t="shared" si="4"/>
        <v>0</v>
      </c>
      <c r="Q41" s="764">
        <f t="shared" si="4"/>
        <v>0</v>
      </c>
      <c r="R41" s="765">
        <f t="shared" ca="1" si="4"/>
        <v>34959.420886342668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212.15222148929848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212.15222148929848</v>
      </c>
    </row>
    <row r="45" spans="1:18" ht="15" thickBot="1">
      <c r="A45" s="888" t="s">
        <v>307</v>
      </c>
      <c r="B45" s="898"/>
      <c r="C45" s="727">
        <f ca="1">transport!B18</f>
        <v>3.160149087450383</v>
      </c>
      <c r="D45" s="727">
        <f>transport!C18</f>
        <v>0</v>
      </c>
      <c r="E45" s="727">
        <f>transport!D18</f>
        <v>16.431950729351929</v>
      </c>
      <c r="F45" s="727">
        <f>transport!E18</f>
        <v>23.479662682423708</v>
      </c>
      <c r="G45" s="727">
        <f>transport!F18</f>
        <v>0</v>
      </c>
      <c r="H45" s="727">
        <f>transport!G18</f>
        <v>7928.8367675298978</v>
      </c>
      <c r="I45" s="727">
        <f>transport!H18</f>
        <v>2242.8084187697041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10214.716948798829</v>
      </c>
    </row>
    <row r="46" spans="1:18" ht="15.75" thickBot="1">
      <c r="A46" s="886" t="s">
        <v>230</v>
      </c>
      <c r="B46" s="899"/>
      <c r="C46" s="763">
        <f t="shared" ref="C46:R46" ca="1" si="5">SUM(C43:C45)</f>
        <v>3.160149087450383</v>
      </c>
      <c r="D46" s="763">
        <f t="shared" ca="1" si="5"/>
        <v>0</v>
      </c>
      <c r="E46" s="763">
        <f t="shared" si="5"/>
        <v>16.431950729351929</v>
      </c>
      <c r="F46" s="763">
        <f t="shared" si="5"/>
        <v>23.479662682423708</v>
      </c>
      <c r="G46" s="763">
        <f t="shared" si="5"/>
        <v>0</v>
      </c>
      <c r="H46" s="763">
        <f t="shared" si="5"/>
        <v>8140.9889890191962</v>
      </c>
      <c r="I46" s="763">
        <f t="shared" si="5"/>
        <v>2242.8084187697041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10426.869170288128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344.077493324454</v>
      </c>
      <c r="D48" s="718">
        <f ca="1">+landbouw!C12</f>
        <v>0</v>
      </c>
      <c r="E48" s="718">
        <f>+landbouw!D12</f>
        <v>197.88012901746555</v>
      </c>
      <c r="F48" s="718">
        <f>+landbouw!E12</f>
        <v>11.621846430529111</v>
      </c>
      <c r="G48" s="718">
        <f>+landbouw!F12</f>
        <v>1937.4453059032685</v>
      </c>
      <c r="H48" s="718">
        <f>+landbouw!G12</f>
        <v>0</v>
      </c>
      <c r="I48" s="718">
        <f>+landbouw!H12</f>
        <v>0</v>
      </c>
      <c r="J48" s="718">
        <f>+landbouw!I12</f>
        <v>0</v>
      </c>
      <c r="K48" s="718">
        <f>+landbouw!J12</f>
        <v>89.332982678687443</v>
      </c>
      <c r="L48" s="718">
        <f>+landbouw!K12</f>
        <v>0</v>
      </c>
      <c r="M48" s="718">
        <f>+landbouw!L12</f>
        <v>0</v>
      </c>
      <c r="N48" s="718">
        <f>+landbouw!M12</f>
        <v>0</v>
      </c>
      <c r="O48" s="718">
        <f>+landbouw!N12</f>
        <v>0</v>
      </c>
      <c r="P48" s="718">
        <f>+landbouw!O12</f>
        <v>0</v>
      </c>
      <c r="Q48" s="719">
        <f>+landbouw!P12</f>
        <v>0</v>
      </c>
      <c r="R48" s="761">
        <f ca="1">SUM(C48:Q48)</f>
        <v>2580.3577573544048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8277.0197964245963</v>
      </c>
      <c r="D53" s="773">
        <f t="shared" ref="D53:Q53" ca="1" si="6">D41+D46+D48</f>
        <v>0</v>
      </c>
      <c r="E53" s="773">
        <f t="shared" ca="1" si="6"/>
        <v>9508.7695225555453</v>
      </c>
      <c r="F53" s="773">
        <f t="shared" si="6"/>
        <v>2987.5303808741378</v>
      </c>
      <c r="G53" s="773">
        <f t="shared" ca="1" si="6"/>
        <v>16720.06955458441</v>
      </c>
      <c r="H53" s="773">
        <f t="shared" si="6"/>
        <v>8140.9889890191962</v>
      </c>
      <c r="I53" s="773">
        <f t="shared" si="6"/>
        <v>2242.8084187697041</v>
      </c>
      <c r="J53" s="773">
        <f t="shared" si="6"/>
        <v>0</v>
      </c>
      <c r="K53" s="773">
        <f t="shared" si="6"/>
        <v>89.461151757610949</v>
      </c>
      <c r="L53" s="773">
        <f t="shared" si="6"/>
        <v>0</v>
      </c>
      <c r="M53" s="773">
        <f t="shared" ca="1" si="6"/>
        <v>0</v>
      </c>
      <c r="N53" s="773">
        <f t="shared" si="6"/>
        <v>0</v>
      </c>
      <c r="O53" s="773">
        <f t="shared" ca="1" si="6"/>
        <v>0</v>
      </c>
      <c r="P53" s="773">
        <f>P41+P46+P48</f>
        <v>0</v>
      </c>
      <c r="Q53" s="774">
        <f t="shared" si="6"/>
        <v>0</v>
      </c>
      <c r="R53" s="775">
        <f ca="1">R41+R46+R48</f>
        <v>47966.647813985197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0.19753848020382303</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4335.7189265636234</v>
      </c>
      <c r="C66" s="795">
        <f>'lokale energieproductie'!B6</f>
        <v>4335.7189265636234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112.5</v>
      </c>
      <c r="C67" s="794">
        <f>B67*IFERROR(SUM(J67:L67)/SUM(D67:M67),0)</f>
        <v>112.5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132.35294117647058</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4448.2189265636234</v>
      </c>
      <c r="C69" s="803">
        <f>SUM(C64:C68)</f>
        <v>4448.2189265636234</v>
      </c>
      <c r="D69" s="804">
        <f t="shared" ref="D69:M69" si="8">SUM(D67:D68)</f>
        <v>0</v>
      </c>
      <c r="E69" s="804">
        <f t="shared" si="8"/>
        <v>0</v>
      </c>
      <c r="F69" s="804">
        <f t="shared" si="8"/>
        <v>0</v>
      </c>
      <c r="G69" s="804">
        <f t="shared" si="8"/>
        <v>0</v>
      </c>
      <c r="H69" s="804">
        <f t="shared" si="8"/>
        <v>0</v>
      </c>
      <c r="I69" s="804">
        <f t="shared" si="8"/>
        <v>0</v>
      </c>
      <c r="J69" s="804">
        <f t="shared" si="8"/>
        <v>132.35294117647058</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126.5625</v>
      </c>
      <c r="C78" s="817">
        <f>B78*IFERROR(SUM(I78:L78)/SUM(D78:M78),0)</f>
        <v>126.5625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148.89705882352942</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126.5625</v>
      </c>
      <c r="C81" s="803">
        <f>SUM(C78:C80)</f>
        <v>126.5625</v>
      </c>
      <c r="D81" s="803">
        <f t="shared" ref="D81:P81" si="9">SUM(D78:D80)</f>
        <v>0</v>
      </c>
      <c r="E81" s="803">
        <f t="shared" si="9"/>
        <v>0</v>
      </c>
      <c r="F81" s="803">
        <f t="shared" si="9"/>
        <v>0</v>
      </c>
      <c r="G81" s="803">
        <f t="shared" si="9"/>
        <v>0</v>
      </c>
      <c r="H81" s="803">
        <f t="shared" si="9"/>
        <v>0</v>
      </c>
      <c r="I81" s="803">
        <f t="shared" si="9"/>
        <v>0</v>
      </c>
      <c r="J81" s="803">
        <f t="shared" si="9"/>
        <v>148.89705882352942</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27291.193292354415</v>
      </c>
      <c r="C4" s="478">
        <f>huishoudens!C8</f>
        <v>0</v>
      </c>
      <c r="D4" s="478">
        <f>huishoudens!D8</f>
        <v>33311.838733752367</v>
      </c>
      <c r="E4" s="478">
        <f>huishoudens!E8</f>
        <v>12546.622862558721</v>
      </c>
      <c r="F4" s="478">
        <f>huishoudens!F8</f>
        <v>52711.140430745407</v>
      </c>
      <c r="G4" s="478">
        <f>huishoudens!G8</f>
        <v>0</v>
      </c>
      <c r="H4" s="478">
        <f>huishoudens!H8</f>
        <v>0</v>
      </c>
      <c r="I4" s="478">
        <f>huishoudens!I8</f>
        <v>0</v>
      </c>
      <c r="J4" s="478">
        <f>huishoudens!J8</f>
        <v>0</v>
      </c>
      <c r="K4" s="478">
        <f>huishoudens!K8</f>
        <v>0</v>
      </c>
      <c r="L4" s="478">
        <f>huishoudens!L8</f>
        <v>0</v>
      </c>
      <c r="M4" s="478">
        <f>huishoudens!M8</f>
        <v>0</v>
      </c>
      <c r="N4" s="478">
        <f>huishoudens!N8</f>
        <v>7789.2862453034386</v>
      </c>
      <c r="O4" s="478">
        <f>huishoudens!O8</f>
        <v>312.66666666666669</v>
      </c>
      <c r="P4" s="479">
        <f>huishoudens!P8</f>
        <v>800.8</v>
      </c>
      <c r="Q4" s="480">
        <f>SUM(B4:P4)</f>
        <v>134763.54823138099</v>
      </c>
    </row>
    <row r="5" spans="1:17">
      <c r="A5" s="477" t="s">
        <v>156</v>
      </c>
      <c r="B5" s="478">
        <f ca="1">tertiair!B16</f>
        <v>10630.302424428128</v>
      </c>
      <c r="C5" s="478">
        <f ca="1">tertiair!C16</f>
        <v>126.5625</v>
      </c>
      <c r="D5" s="478">
        <f ca="1">tertiair!D16</f>
        <v>11796.549777850745</v>
      </c>
      <c r="E5" s="478">
        <f>tertiair!E16</f>
        <v>190.30483876523977</v>
      </c>
      <c r="F5" s="478">
        <f ca="1">tertiair!F16</f>
        <v>1896.6725197855326</v>
      </c>
      <c r="G5" s="478">
        <f>tertiair!G16</f>
        <v>0</v>
      </c>
      <c r="H5" s="478">
        <f>tertiair!H16</f>
        <v>0</v>
      </c>
      <c r="I5" s="478">
        <f>tertiair!I16</f>
        <v>0</v>
      </c>
      <c r="J5" s="478">
        <f>tertiair!J16</f>
        <v>3.0416828290257124E-2</v>
      </c>
      <c r="K5" s="478">
        <f>tertiair!K16</f>
        <v>0</v>
      </c>
      <c r="L5" s="478">
        <f ca="1">tertiair!L16</f>
        <v>0</v>
      </c>
      <c r="M5" s="478">
        <f>tertiair!M16</f>
        <v>0</v>
      </c>
      <c r="N5" s="478">
        <f ca="1">tertiair!N16</f>
        <v>1205.9848905874442</v>
      </c>
      <c r="O5" s="478">
        <f>tertiair!O16</f>
        <v>1.5633333333333335</v>
      </c>
      <c r="P5" s="479">
        <f>tertiair!P16</f>
        <v>19.066666666666666</v>
      </c>
      <c r="Q5" s="477">
        <f t="shared" ref="Q5:Q13" ca="1" si="0">SUM(B5:P5)</f>
        <v>25867.037368245379</v>
      </c>
    </row>
    <row r="6" spans="1:17">
      <c r="A6" s="477" t="s">
        <v>194</v>
      </c>
      <c r="B6" s="478">
        <f>'openbare verlichting'!B8</f>
        <v>996.36400000000003</v>
      </c>
      <c r="C6" s="478"/>
      <c r="D6" s="478"/>
      <c r="E6" s="478"/>
      <c r="F6" s="478"/>
      <c r="G6" s="478"/>
      <c r="H6" s="478"/>
      <c r="I6" s="478"/>
      <c r="J6" s="478"/>
      <c r="K6" s="478"/>
      <c r="L6" s="478"/>
      <c r="M6" s="478"/>
      <c r="N6" s="478"/>
      <c r="O6" s="478"/>
      <c r="P6" s="479"/>
      <c r="Q6" s="477">
        <f t="shared" si="0"/>
        <v>996.36400000000003</v>
      </c>
    </row>
    <row r="7" spans="1:17">
      <c r="A7" s="477" t="s">
        <v>112</v>
      </c>
      <c r="B7" s="478">
        <f>landbouw!B8</f>
        <v>1741.8251520890001</v>
      </c>
      <c r="C7" s="478">
        <f>landbouw!C8</f>
        <v>0</v>
      </c>
      <c r="D7" s="478">
        <f>landbouw!D8</f>
        <v>979.60459909636404</v>
      </c>
      <c r="E7" s="478">
        <f>landbouw!E8</f>
        <v>51.197561367969648</v>
      </c>
      <c r="F7" s="478">
        <f>landbouw!F8</f>
        <v>7256.349460311867</v>
      </c>
      <c r="G7" s="478">
        <f>landbouw!G8</f>
        <v>0</v>
      </c>
      <c r="H7" s="478">
        <f>landbouw!H8</f>
        <v>0</v>
      </c>
      <c r="I7" s="478">
        <f>landbouw!I8</f>
        <v>0</v>
      </c>
      <c r="J7" s="478">
        <f>landbouw!J8</f>
        <v>252.35305841437133</v>
      </c>
      <c r="K7" s="478">
        <f>landbouw!K8</f>
        <v>0</v>
      </c>
      <c r="L7" s="478">
        <f>landbouw!L8</f>
        <v>0</v>
      </c>
      <c r="M7" s="478">
        <f>landbouw!M8</f>
        <v>0</v>
      </c>
      <c r="N7" s="478">
        <f>landbouw!N8</f>
        <v>0</v>
      </c>
      <c r="O7" s="478">
        <f>landbouw!O8</f>
        <v>0</v>
      </c>
      <c r="P7" s="479">
        <f>landbouw!P8</f>
        <v>0</v>
      </c>
      <c r="Q7" s="477">
        <f t="shared" si="0"/>
        <v>10281.329831279572</v>
      </c>
    </row>
    <row r="8" spans="1:17">
      <c r="A8" s="477" t="s">
        <v>635</v>
      </c>
      <c r="B8" s="478">
        <f>industrie!B18</f>
        <v>1225.1146841069942</v>
      </c>
      <c r="C8" s="478">
        <f>industrie!C18</f>
        <v>0</v>
      </c>
      <c r="D8" s="478">
        <f>industrie!D18</f>
        <v>903.77704685593494</v>
      </c>
      <c r="E8" s="478">
        <f>industrie!E18</f>
        <v>269.36688793235965</v>
      </c>
      <c r="F8" s="478">
        <f>industrie!F18</f>
        <v>757.82093966059369</v>
      </c>
      <c r="G8" s="478">
        <f>industrie!G18</f>
        <v>0</v>
      </c>
      <c r="H8" s="478">
        <f>industrie!H18</f>
        <v>0</v>
      </c>
      <c r="I8" s="478">
        <f>industrie!I18</f>
        <v>0</v>
      </c>
      <c r="J8" s="478">
        <f>industrie!J18</f>
        <v>0.33164271669138196</v>
      </c>
      <c r="K8" s="478">
        <f>industrie!K18</f>
        <v>0</v>
      </c>
      <c r="L8" s="478">
        <f>industrie!L18</f>
        <v>0</v>
      </c>
      <c r="M8" s="478">
        <f>industrie!M18</f>
        <v>0</v>
      </c>
      <c r="N8" s="478">
        <f>industrie!N18</f>
        <v>377.5768241542238</v>
      </c>
      <c r="O8" s="478">
        <f>industrie!O18</f>
        <v>0</v>
      </c>
      <c r="P8" s="479">
        <f>industrie!P18</f>
        <v>0</v>
      </c>
      <c r="Q8" s="477">
        <f t="shared" si="0"/>
        <v>3533.9880254267978</v>
      </c>
    </row>
    <row r="9" spans="1:17" s="483" customFormat="1">
      <c r="A9" s="481" t="s">
        <v>561</v>
      </c>
      <c r="B9" s="482">
        <f>transport!B14</f>
        <v>15.997637949779183</v>
      </c>
      <c r="C9" s="482">
        <f>transport!C14</f>
        <v>0</v>
      </c>
      <c r="D9" s="482">
        <f>transport!D14</f>
        <v>81.346290739365983</v>
      </c>
      <c r="E9" s="482">
        <f>transport!E14</f>
        <v>103.43463736750532</v>
      </c>
      <c r="F9" s="482">
        <f>transport!F14</f>
        <v>0</v>
      </c>
      <c r="G9" s="482">
        <f>transport!G14</f>
        <v>29696.01785591722</v>
      </c>
      <c r="H9" s="482">
        <f>transport!H14</f>
        <v>9007.2627259827477</v>
      </c>
      <c r="I9" s="482">
        <f>transport!I14</f>
        <v>0</v>
      </c>
      <c r="J9" s="482">
        <f>transport!J14</f>
        <v>0</v>
      </c>
      <c r="K9" s="482">
        <f>transport!K14</f>
        <v>0</v>
      </c>
      <c r="L9" s="482">
        <f>transport!L14</f>
        <v>0</v>
      </c>
      <c r="M9" s="482">
        <f>transport!M14</f>
        <v>2002.3154271090466</v>
      </c>
      <c r="N9" s="482">
        <f>transport!N14</f>
        <v>0</v>
      </c>
      <c r="O9" s="482">
        <f>transport!O14</f>
        <v>0</v>
      </c>
      <c r="P9" s="482">
        <f>transport!P14</f>
        <v>0</v>
      </c>
      <c r="Q9" s="481">
        <f>SUM(B9:P9)</f>
        <v>40906.374575065667</v>
      </c>
    </row>
    <row r="10" spans="1:17">
      <c r="A10" s="477" t="s">
        <v>551</v>
      </c>
      <c r="B10" s="478">
        <f>transport!B54</f>
        <v>0</v>
      </c>
      <c r="C10" s="478">
        <f>transport!C54</f>
        <v>0</v>
      </c>
      <c r="D10" s="478">
        <f>transport!D54</f>
        <v>0</v>
      </c>
      <c r="E10" s="478">
        <f>transport!E54</f>
        <v>0</v>
      </c>
      <c r="F10" s="478">
        <f>transport!F54</f>
        <v>0</v>
      </c>
      <c r="G10" s="478">
        <f>transport!G54</f>
        <v>794.57760857415155</v>
      </c>
      <c r="H10" s="478">
        <f>transport!H54</f>
        <v>0</v>
      </c>
      <c r="I10" s="478">
        <f>transport!I54</f>
        <v>0</v>
      </c>
      <c r="J10" s="478">
        <f>transport!J54</f>
        <v>0</v>
      </c>
      <c r="K10" s="478">
        <f>transport!K54</f>
        <v>0</v>
      </c>
      <c r="L10" s="478">
        <f>transport!L54</f>
        <v>0</v>
      </c>
      <c r="M10" s="478">
        <f>transport!M54</f>
        <v>45.128500443465285</v>
      </c>
      <c r="N10" s="478">
        <f>transport!N54</f>
        <v>0</v>
      </c>
      <c r="O10" s="478">
        <f>transport!O54</f>
        <v>0</v>
      </c>
      <c r="P10" s="479">
        <f>transport!P54</f>
        <v>0</v>
      </c>
      <c r="Q10" s="477">
        <f t="shared" si="0"/>
        <v>839.70610901761688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41900.797190928315</v>
      </c>
      <c r="C14" s="488">
        <f t="shared" ref="C14:Q14" ca="1" si="1">SUM(C4:C13)</f>
        <v>126.5625</v>
      </c>
      <c r="D14" s="488">
        <f t="shared" ca="1" si="1"/>
        <v>47073.116448294779</v>
      </c>
      <c r="E14" s="488">
        <f t="shared" si="1"/>
        <v>13160.926787991795</v>
      </c>
      <c r="F14" s="488">
        <f t="shared" ca="1" si="1"/>
        <v>62621.983350503404</v>
      </c>
      <c r="G14" s="488">
        <f t="shared" si="1"/>
        <v>30490.595464491373</v>
      </c>
      <c r="H14" s="488">
        <f t="shared" si="1"/>
        <v>9007.2627259827477</v>
      </c>
      <c r="I14" s="488">
        <f t="shared" si="1"/>
        <v>0</v>
      </c>
      <c r="J14" s="488">
        <f t="shared" si="1"/>
        <v>252.71511795935299</v>
      </c>
      <c r="K14" s="488">
        <f t="shared" si="1"/>
        <v>0</v>
      </c>
      <c r="L14" s="488">
        <f t="shared" ca="1" si="1"/>
        <v>0</v>
      </c>
      <c r="M14" s="488">
        <f t="shared" si="1"/>
        <v>2047.4439275525119</v>
      </c>
      <c r="N14" s="488">
        <f t="shared" ca="1" si="1"/>
        <v>9372.8479600451064</v>
      </c>
      <c r="O14" s="488">
        <f t="shared" si="1"/>
        <v>314.23</v>
      </c>
      <c r="P14" s="489">
        <f t="shared" si="1"/>
        <v>819.86666666666667</v>
      </c>
      <c r="Q14" s="489">
        <f t="shared" ca="1" si="1"/>
        <v>217188.34814041606</v>
      </c>
    </row>
    <row r="16" spans="1:17">
      <c r="A16" s="491" t="s">
        <v>556</v>
      </c>
      <c r="B16" s="841">
        <f ca="1">huishoudens!B10</f>
        <v>0.19753848020382303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5391.0608459204605</v>
      </c>
      <c r="C21" s="478">
        <f t="shared" ref="C21:C30" ca="1" si="3">C4*$C$16</f>
        <v>0</v>
      </c>
      <c r="D21" s="478">
        <f t="shared" ref="D21:D30" si="4">D4*$D$16</f>
        <v>6728.9914242179784</v>
      </c>
      <c r="E21" s="478">
        <f t="shared" ref="E21:E30" si="5">E4*$E$16</f>
        <v>2848.0833898008295</v>
      </c>
      <c r="F21" s="478">
        <f t="shared" ref="F21:F30" si="6">F4*$F$16</f>
        <v>14073.874495009024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29042.010154948293</v>
      </c>
    </row>
    <row r="22" spans="1:17">
      <c r="A22" s="477" t="s">
        <v>156</v>
      </c>
      <c r="B22" s="478">
        <f t="shared" ca="1" si="2"/>
        <v>2099.8937850285479</v>
      </c>
      <c r="C22" s="478">
        <f t="shared" ca="1" si="3"/>
        <v>0</v>
      </c>
      <c r="D22" s="478">
        <f t="shared" ca="1" si="4"/>
        <v>2382.9030551258506</v>
      </c>
      <c r="E22" s="478">
        <f t="shared" si="5"/>
        <v>43.199198399709431</v>
      </c>
      <c r="F22" s="478">
        <f t="shared" ca="1" si="6"/>
        <v>506.41156278273724</v>
      </c>
      <c r="G22" s="478">
        <f t="shared" si="7"/>
        <v>0</v>
      </c>
      <c r="H22" s="478">
        <f t="shared" si="8"/>
        <v>0</v>
      </c>
      <c r="I22" s="478">
        <f t="shared" si="9"/>
        <v>0</v>
      </c>
      <c r="J22" s="478">
        <f t="shared" si="10"/>
        <v>1.0767557214751021E-2</v>
      </c>
      <c r="K22" s="478">
        <f t="shared" si="11"/>
        <v>0</v>
      </c>
      <c r="L22" s="478">
        <f t="shared" ca="1" si="12"/>
        <v>0</v>
      </c>
      <c r="M22" s="478">
        <f t="shared" si="13"/>
        <v>0</v>
      </c>
      <c r="N22" s="478">
        <f t="shared" ca="1" si="14"/>
        <v>0</v>
      </c>
      <c r="O22" s="478">
        <f t="shared" si="15"/>
        <v>0</v>
      </c>
      <c r="P22" s="479">
        <f t="shared" si="16"/>
        <v>0</v>
      </c>
      <c r="Q22" s="477">
        <f t="shared" ref="Q22:Q30" ca="1" si="17">SUM(B22:P22)</f>
        <v>5032.4183688940593</v>
      </c>
    </row>
    <row r="23" spans="1:17">
      <c r="A23" s="477" t="s">
        <v>194</v>
      </c>
      <c r="B23" s="478">
        <f t="shared" ca="1" si="2"/>
        <v>196.82023028980194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196.82023028980194</v>
      </c>
    </row>
    <row r="24" spans="1:17">
      <c r="A24" s="477" t="s">
        <v>112</v>
      </c>
      <c r="B24" s="478">
        <f t="shared" ca="1" si="2"/>
        <v>344.077493324454</v>
      </c>
      <c r="C24" s="478">
        <f t="shared" ca="1" si="3"/>
        <v>0</v>
      </c>
      <c r="D24" s="478">
        <f t="shared" si="4"/>
        <v>197.88012901746555</v>
      </c>
      <c r="E24" s="478">
        <f t="shared" si="5"/>
        <v>11.621846430529111</v>
      </c>
      <c r="F24" s="478">
        <f t="shared" si="6"/>
        <v>1937.4453059032685</v>
      </c>
      <c r="G24" s="478">
        <f t="shared" si="7"/>
        <v>0</v>
      </c>
      <c r="H24" s="478">
        <f t="shared" si="8"/>
        <v>0</v>
      </c>
      <c r="I24" s="478">
        <f t="shared" si="9"/>
        <v>0</v>
      </c>
      <c r="J24" s="478">
        <f t="shared" si="10"/>
        <v>89.332982678687443</v>
      </c>
      <c r="K24" s="478">
        <f t="shared" si="11"/>
        <v>0</v>
      </c>
      <c r="L24" s="478">
        <f t="shared" si="12"/>
        <v>0</v>
      </c>
      <c r="M24" s="478">
        <f t="shared" si="13"/>
        <v>0</v>
      </c>
      <c r="N24" s="478">
        <f t="shared" si="14"/>
        <v>0</v>
      </c>
      <c r="O24" s="478">
        <f t="shared" si="15"/>
        <v>0</v>
      </c>
      <c r="P24" s="479">
        <f t="shared" si="16"/>
        <v>0</v>
      </c>
      <c r="Q24" s="477">
        <f t="shared" ca="1" si="17"/>
        <v>2580.3577573544048</v>
      </c>
    </row>
    <row r="25" spans="1:17">
      <c r="A25" s="477" t="s">
        <v>635</v>
      </c>
      <c r="B25" s="478">
        <f t="shared" ca="1" si="2"/>
        <v>242.00729277388237</v>
      </c>
      <c r="C25" s="478">
        <f t="shared" ca="1" si="3"/>
        <v>0</v>
      </c>
      <c r="D25" s="478">
        <f t="shared" si="4"/>
        <v>182.56296346489887</v>
      </c>
      <c r="E25" s="478">
        <f t="shared" si="5"/>
        <v>61.146283560645642</v>
      </c>
      <c r="F25" s="478">
        <f t="shared" si="6"/>
        <v>202.33819088937852</v>
      </c>
      <c r="G25" s="478">
        <f t="shared" si="7"/>
        <v>0</v>
      </c>
      <c r="H25" s="478">
        <f t="shared" si="8"/>
        <v>0</v>
      </c>
      <c r="I25" s="478">
        <f t="shared" si="9"/>
        <v>0</v>
      </c>
      <c r="J25" s="478">
        <f t="shared" si="10"/>
        <v>0.11740152170874921</v>
      </c>
      <c r="K25" s="478">
        <f t="shared" si="11"/>
        <v>0</v>
      </c>
      <c r="L25" s="478">
        <f t="shared" si="12"/>
        <v>0</v>
      </c>
      <c r="M25" s="478">
        <f t="shared" si="13"/>
        <v>0</v>
      </c>
      <c r="N25" s="478">
        <f t="shared" si="14"/>
        <v>0</v>
      </c>
      <c r="O25" s="478">
        <f t="shared" si="15"/>
        <v>0</v>
      </c>
      <c r="P25" s="479">
        <f t="shared" si="16"/>
        <v>0</v>
      </c>
      <c r="Q25" s="477">
        <f t="shared" ca="1" si="17"/>
        <v>688.17213221051418</v>
      </c>
    </row>
    <row r="26" spans="1:17" s="483" customFormat="1">
      <c r="A26" s="481" t="s">
        <v>561</v>
      </c>
      <c r="B26" s="835">
        <f t="shared" ca="1" si="2"/>
        <v>3.160149087450383</v>
      </c>
      <c r="C26" s="482">
        <f t="shared" ca="1" si="3"/>
        <v>0</v>
      </c>
      <c r="D26" s="482">
        <f t="shared" si="4"/>
        <v>16.431950729351929</v>
      </c>
      <c r="E26" s="482">
        <f t="shared" si="5"/>
        <v>23.479662682423708</v>
      </c>
      <c r="F26" s="482">
        <f t="shared" si="6"/>
        <v>0</v>
      </c>
      <c r="G26" s="482">
        <f t="shared" si="7"/>
        <v>7928.8367675298978</v>
      </c>
      <c r="H26" s="482">
        <f t="shared" si="8"/>
        <v>2242.8084187697041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10214.716948798829</v>
      </c>
    </row>
    <row r="27" spans="1:17">
      <c r="A27" s="477" t="s">
        <v>551</v>
      </c>
      <c r="B27" s="478">
        <f t="shared" ca="1" si="2"/>
        <v>0</v>
      </c>
      <c r="C27" s="478">
        <f t="shared" ca="1" si="3"/>
        <v>0</v>
      </c>
      <c r="D27" s="478">
        <f t="shared" si="4"/>
        <v>0</v>
      </c>
      <c r="E27" s="478">
        <f t="shared" si="5"/>
        <v>0</v>
      </c>
      <c r="F27" s="478">
        <f t="shared" si="6"/>
        <v>0</v>
      </c>
      <c r="G27" s="478">
        <f t="shared" si="7"/>
        <v>212.15222148929848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212.15222148929848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8277.0197964245981</v>
      </c>
      <c r="C31" s="488">
        <f t="shared" ca="1" si="18"/>
        <v>0</v>
      </c>
      <c r="D31" s="488">
        <f t="shared" ca="1" si="18"/>
        <v>9508.7695225555453</v>
      </c>
      <c r="E31" s="488">
        <f t="shared" si="18"/>
        <v>2987.5303808741378</v>
      </c>
      <c r="F31" s="488">
        <f t="shared" ca="1" si="18"/>
        <v>16720.06955458441</v>
      </c>
      <c r="G31" s="488">
        <f t="shared" si="18"/>
        <v>8140.9889890191962</v>
      </c>
      <c r="H31" s="488">
        <f t="shared" si="18"/>
        <v>2242.8084187697041</v>
      </c>
      <c r="I31" s="488">
        <f t="shared" si="18"/>
        <v>0</v>
      </c>
      <c r="J31" s="488">
        <f t="shared" si="18"/>
        <v>89.461151757610935</v>
      </c>
      <c r="K31" s="488">
        <f t="shared" si="18"/>
        <v>0</v>
      </c>
      <c r="L31" s="488">
        <f t="shared" ca="1" si="18"/>
        <v>0</v>
      </c>
      <c r="M31" s="488">
        <f t="shared" si="18"/>
        <v>0</v>
      </c>
      <c r="N31" s="488">
        <f t="shared" ca="1" si="18"/>
        <v>0</v>
      </c>
      <c r="O31" s="488">
        <f t="shared" si="18"/>
        <v>0</v>
      </c>
      <c r="P31" s="489">
        <f t="shared" si="18"/>
        <v>0</v>
      </c>
      <c r="Q31" s="489">
        <f t="shared" ca="1" si="18"/>
        <v>47966.647813985197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0.19753848020382303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0.19753848020382303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0.19753848020382303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5992</v>
      </c>
      <c r="C9" s="342">
        <v>6281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297.08</v>
      </c>
    </row>
    <row r="15" spans="1:6">
      <c r="A15" s="348" t="s">
        <v>184</v>
      </c>
      <c r="B15" s="334">
        <v>0</v>
      </c>
    </row>
    <row r="16" spans="1:6">
      <c r="A16" s="348" t="s">
        <v>6</v>
      </c>
      <c r="B16" s="334">
        <v>0</v>
      </c>
    </row>
    <row r="17" spans="1:6">
      <c r="A17" s="348" t="s">
        <v>7</v>
      </c>
      <c r="B17" s="334">
        <v>42</v>
      </c>
    </row>
    <row r="18" spans="1:6">
      <c r="A18" s="348" t="s">
        <v>8</v>
      </c>
      <c r="B18" s="334">
        <v>39</v>
      </c>
    </row>
    <row r="19" spans="1:6">
      <c r="A19" s="348" t="s">
        <v>9</v>
      </c>
      <c r="B19" s="334">
        <v>36</v>
      </c>
    </row>
    <row r="20" spans="1:6">
      <c r="A20" s="348" t="s">
        <v>10</v>
      </c>
      <c r="B20" s="334">
        <v>28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60929</v>
      </c>
    </row>
    <row r="29" spans="1:6">
      <c r="A29" s="355" t="s">
        <v>744</v>
      </c>
      <c r="B29" s="355">
        <v>63</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1706.4311740421001</v>
      </c>
    </row>
    <row r="39" spans="1:6">
      <c r="A39" s="348" t="s">
        <v>30</v>
      </c>
      <c r="B39" s="348" t="s">
        <v>31</v>
      </c>
      <c r="C39" s="334">
        <v>2212</v>
      </c>
      <c r="D39" s="334">
        <v>36931085.070678897</v>
      </c>
      <c r="E39" s="334">
        <v>5930</v>
      </c>
      <c r="F39" s="334">
        <v>24150218.157682002</v>
      </c>
    </row>
    <row r="40" spans="1:6">
      <c r="A40" s="348" t="s">
        <v>30</v>
      </c>
      <c r="B40" s="348" t="s">
        <v>29</v>
      </c>
      <c r="C40" s="334">
        <v>0</v>
      </c>
      <c r="D40" s="334">
        <v>0</v>
      </c>
      <c r="E40" s="334">
        <v>0</v>
      </c>
      <c r="F40" s="334">
        <v>0</v>
      </c>
    </row>
    <row r="41" spans="1:6">
      <c r="A41" s="348" t="s">
        <v>32</v>
      </c>
      <c r="B41" s="348" t="s">
        <v>33</v>
      </c>
      <c r="C41" s="334">
        <v>15</v>
      </c>
      <c r="D41" s="334">
        <v>315230.92693599599</v>
      </c>
      <c r="E41" s="334">
        <v>119</v>
      </c>
      <c r="F41" s="334">
        <v>901785.95646533102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28416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70706.210177424</v>
      </c>
      <c r="E47" s="334">
        <v>3</v>
      </c>
      <c r="F47" s="334">
        <v>15707.3602820948</v>
      </c>
    </row>
    <row r="48" spans="1:6">
      <c r="A48" s="348" t="s">
        <v>32</v>
      </c>
      <c r="B48" s="348" t="s">
        <v>29</v>
      </c>
      <c r="C48" s="334">
        <v>20</v>
      </c>
      <c r="D48" s="334">
        <v>616032.98135213996</v>
      </c>
      <c r="E48" s="334">
        <v>11</v>
      </c>
      <c r="F48" s="334">
        <v>91959.545983957301</v>
      </c>
    </row>
    <row r="49" spans="1:6">
      <c r="A49" s="348" t="s">
        <v>32</v>
      </c>
      <c r="B49" s="348" t="s">
        <v>40</v>
      </c>
      <c r="C49" s="334">
        <v>0</v>
      </c>
      <c r="D49" s="334">
        <v>0</v>
      </c>
      <c r="E49" s="334">
        <v>0</v>
      </c>
      <c r="F49" s="334">
        <v>0</v>
      </c>
    </row>
    <row r="50" spans="1:6">
      <c r="A50" s="348" t="s">
        <v>32</v>
      </c>
      <c r="B50" s="348" t="s">
        <v>41</v>
      </c>
      <c r="C50" s="334">
        <v>0</v>
      </c>
      <c r="D50" s="334">
        <v>0</v>
      </c>
      <c r="E50" s="334">
        <v>5</v>
      </c>
      <c r="F50" s="334">
        <v>187245.82137561101</v>
      </c>
    </row>
    <row r="51" spans="1:6">
      <c r="A51" s="348" t="s">
        <v>42</v>
      </c>
      <c r="B51" s="348" t="s">
        <v>43</v>
      </c>
      <c r="C51" s="334">
        <v>0</v>
      </c>
      <c r="D51" s="334">
        <v>0</v>
      </c>
      <c r="E51" s="334">
        <v>11</v>
      </c>
      <c r="F51" s="334">
        <v>285852</v>
      </c>
    </row>
    <row r="52" spans="1:6">
      <c r="A52" s="348" t="s">
        <v>42</v>
      </c>
      <c r="B52" s="348" t="s">
        <v>29</v>
      </c>
      <c r="C52" s="334">
        <v>2</v>
      </c>
      <c r="D52" s="334">
        <v>36359.137837770002</v>
      </c>
      <c r="E52" s="334">
        <v>4</v>
      </c>
      <c r="F52" s="334">
        <v>1455973.152089</v>
      </c>
    </row>
    <row r="53" spans="1:6">
      <c r="A53" s="348" t="s">
        <v>44</v>
      </c>
      <c r="B53" s="348" t="s">
        <v>45</v>
      </c>
      <c r="C53" s="334">
        <v>58</v>
      </c>
      <c r="D53" s="334">
        <v>1049677.0030672899</v>
      </c>
      <c r="E53" s="334">
        <v>130</v>
      </c>
      <c r="F53" s="334">
        <v>631797.80977161799</v>
      </c>
    </row>
    <row r="54" spans="1:6">
      <c r="A54" s="348" t="s">
        <v>46</v>
      </c>
      <c r="B54" s="348" t="s">
        <v>47</v>
      </c>
      <c r="C54" s="334">
        <v>0</v>
      </c>
      <c r="D54" s="334">
        <v>0</v>
      </c>
      <c r="E54" s="334">
        <v>2</v>
      </c>
      <c r="F54" s="334">
        <v>996364</v>
      </c>
    </row>
    <row r="55" spans="1:6">
      <c r="A55" s="348" t="s">
        <v>46</v>
      </c>
      <c r="B55" s="348" t="s">
        <v>29</v>
      </c>
      <c r="C55" s="334">
        <v>0</v>
      </c>
      <c r="D55" s="334">
        <v>0</v>
      </c>
      <c r="E55" s="334">
        <v>0</v>
      </c>
      <c r="F55" s="334">
        <v>0</v>
      </c>
    </row>
    <row r="56" spans="1:6">
      <c r="A56" s="348" t="s">
        <v>48</v>
      </c>
      <c r="B56" s="348" t="s">
        <v>29</v>
      </c>
      <c r="C56" s="334">
        <v>0</v>
      </c>
      <c r="D56" s="334">
        <v>0</v>
      </c>
      <c r="E56" s="334">
        <v>7</v>
      </c>
      <c r="F56" s="334">
        <v>348178</v>
      </c>
    </row>
    <row r="57" spans="1:6">
      <c r="A57" s="348" t="s">
        <v>49</v>
      </c>
      <c r="B57" s="348" t="s">
        <v>50</v>
      </c>
      <c r="C57" s="334">
        <v>30</v>
      </c>
      <c r="D57" s="334">
        <v>1415511.3144640799</v>
      </c>
      <c r="E57" s="334">
        <v>103</v>
      </c>
      <c r="F57" s="334">
        <v>1145654.03341605</v>
      </c>
    </row>
    <row r="58" spans="1:6">
      <c r="A58" s="348" t="s">
        <v>49</v>
      </c>
      <c r="B58" s="348" t="s">
        <v>51</v>
      </c>
      <c r="C58" s="334">
        <v>0</v>
      </c>
      <c r="D58" s="334">
        <v>0</v>
      </c>
      <c r="E58" s="334">
        <v>19</v>
      </c>
      <c r="F58" s="334">
        <v>231613.12835314608</v>
      </c>
    </row>
    <row r="59" spans="1:6">
      <c r="A59" s="348" t="s">
        <v>49</v>
      </c>
      <c r="B59" s="348" t="s">
        <v>52</v>
      </c>
      <c r="C59" s="334">
        <v>34</v>
      </c>
      <c r="D59" s="334">
        <v>1231133.5889821399</v>
      </c>
      <c r="E59" s="334">
        <v>142</v>
      </c>
      <c r="F59" s="334">
        <v>3855378.9276086101</v>
      </c>
    </row>
    <row r="60" spans="1:6">
      <c r="A60" s="348" t="s">
        <v>49</v>
      </c>
      <c r="B60" s="348" t="s">
        <v>53</v>
      </c>
      <c r="C60" s="334">
        <v>22</v>
      </c>
      <c r="D60" s="334">
        <v>1265617.8766207299</v>
      </c>
      <c r="E60" s="334">
        <v>57</v>
      </c>
      <c r="F60" s="334">
        <v>1274304.8985544201</v>
      </c>
    </row>
    <row r="61" spans="1:6">
      <c r="A61" s="348" t="s">
        <v>49</v>
      </c>
      <c r="B61" s="348" t="s">
        <v>54</v>
      </c>
      <c r="C61" s="334">
        <v>36</v>
      </c>
      <c r="D61" s="334">
        <v>858215.59383143403</v>
      </c>
      <c r="E61" s="334">
        <v>186</v>
      </c>
      <c r="F61" s="334">
        <v>1561781.171164568</v>
      </c>
    </row>
    <row r="62" spans="1:6">
      <c r="A62" s="348" t="s">
        <v>49</v>
      </c>
      <c r="B62" s="348" t="s">
        <v>55</v>
      </c>
      <c r="C62" s="334">
        <v>4</v>
      </c>
      <c r="D62" s="334">
        <v>710242.80397384497</v>
      </c>
      <c r="E62" s="334">
        <v>11</v>
      </c>
      <c r="F62" s="334">
        <v>157469.095572794</v>
      </c>
    </row>
    <row r="63" spans="1:6">
      <c r="A63" s="348" t="s">
        <v>49</v>
      </c>
      <c r="B63" s="348" t="s">
        <v>29</v>
      </c>
      <c r="C63" s="334">
        <v>89</v>
      </c>
      <c r="D63" s="334">
        <v>7597493.6534478897</v>
      </c>
      <c r="E63" s="334">
        <v>74</v>
      </c>
      <c r="F63" s="334">
        <v>2291601.1697585401</v>
      </c>
    </row>
    <row r="64" spans="1:6">
      <c r="A64" s="348" t="s">
        <v>56</v>
      </c>
      <c r="B64" s="348" t="s">
        <v>57</v>
      </c>
      <c r="C64" s="334">
        <v>0</v>
      </c>
      <c r="D64" s="334">
        <v>0</v>
      </c>
      <c r="E64" s="334">
        <v>0</v>
      </c>
      <c r="F64" s="334">
        <v>0</v>
      </c>
    </row>
    <row r="65" spans="1:6">
      <c r="A65" s="348" t="s">
        <v>56</v>
      </c>
      <c r="B65" s="348" t="s">
        <v>29</v>
      </c>
      <c r="C65" s="334">
        <v>3</v>
      </c>
      <c r="D65" s="334">
        <v>67244.764766304201</v>
      </c>
      <c r="E65" s="334">
        <v>1</v>
      </c>
      <c r="F65" s="334">
        <v>18717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46009.2956232582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4323688</v>
      </c>
      <c r="E73" s="476">
        <v>4391974.9679651158</v>
      </c>
    </row>
    <row r="74" spans="1:6">
      <c r="A74" s="348" t="s">
        <v>64</v>
      </c>
      <c r="B74" s="348" t="s">
        <v>657</v>
      </c>
      <c r="C74" s="1213" t="s">
        <v>659</v>
      </c>
      <c r="D74" s="476">
        <v>270680.83471570001</v>
      </c>
      <c r="E74" s="476">
        <v>280012.05844075605</v>
      </c>
    </row>
    <row r="75" spans="1:6">
      <c r="A75" s="348" t="s">
        <v>65</v>
      </c>
      <c r="B75" s="348" t="s">
        <v>656</v>
      </c>
      <c r="C75" s="1213" t="s">
        <v>660</v>
      </c>
      <c r="D75" s="476">
        <v>36341038</v>
      </c>
      <c r="E75" s="476">
        <v>36674332.94575502</v>
      </c>
    </row>
    <row r="76" spans="1:6">
      <c r="A76" s="348" t="s">
        <v>65</v>
      </c>
      <c r="B76" s="348" t="s">
        <v>657</v>
      </c>
      <c r="C76" s="1213" t="s">
        <v>661</v>
      </c>
      <c r="D76" s="476">
        <v>1180479.8347157</v>
      </c>
      <c r="E76" s="476">
        <v>1186909.3582512008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227742.33056860004</v>
      </c>
      <c r="C83" s="476">
        <v>228052.25418212154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3140.9751346724147</v>
      </c>
    </row>
    <row r="92" spans="1:6">
      <c r="A92" s="341" t="s">
        <v>69</v>
      </c>
      <c r="B92" s="342">
        <v>1194.7437918912085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2</v>
      </c>
    </row>
    <row r="99" spans="1:6">
      <c r="A99" s="348" t="s">
        <v>73</v>
      </c>
      <c r="B99" s="334">
        <v>258</v>
      </c>
    </row>
    <row r="100" spans="1:6">
      <c r="A100" s="348" t="s">
        <v>74</v>
      </c>
      <c r="B100" s="334">
        <v>436</v>
      </c>
    </row>
    <row r="101" spans="1:6">
      <c r="A101" s="348" t="s">
        <v>75</v>
      </c>
      <c r="B101" s="334">
        <v>47</v>
      </c>
    </row>
    <row r="102" spans="1:6">
      <c r="A102" s="348" t="s">
        <v>76</v>
      </c>
      <c r="B102" s="334">
        <v>58</v>
      </c>
    </row>
    <row r="103" spans="1:6">
      <c r="A103" s="348" t="s">
        <v>77</v>
      </c>
      <c r="B103" s="334">
        <v>127</v>
      </c>
    </row>
    <row r="104" spans="1:6">
      <c r="A104" s="348" t="s">
        <v>78</v>
      </c>
      <c r="B104" s="334">
        <v>3603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74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1</v>
      </c>
    </row>
    <row r="131" spans="1:6">
      <c r="A131" s="348" t="s">
        <v>296</v>
      </c>
      <c r="B131" s="334">
        <v>1</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41900.797190928315</v>
      </c>
      <c r="C3" s="43" t="s">
        <v>170</v>
      </c>
      <c r="D3" s="43"/>
      <c r="E3" s="154"/>
      <c r="F3" s="43"/>
      <c r="G3" s="43"/>
      <c r="H3" s="43"/>
      <c r="I3" s="43"/>
      <c r="J3" s="43"/>
      <c r="K3" s="96"/>
    </row>
    <row r="4" spans="1:11">
      <c r="A4" s="383" t="s">
        <v>171</v>
      </c>
      <c r="B4" s="49">
        <f>IF(ISERROR('SEAP template'!B69),0,'SEAP template'!B69)</f>
        <v>4448.2189265636234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0.19753848020382303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126.5625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996.36400000000003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996.36400000000003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0.19753848020382303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196.82023028980194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24150.218157682</v>
      </c>
      <c r="C5" s="17">
        <f>IF(ISERROR('Eigen informatie GS &amp; warmtenet'!B57),0,'Eigen informatie GS &amp; warmtenet'!B57)</f>
        <v>0</v>
      </c>
      <c r="D5" s="30">
        <f>(SUM(HH_hh_gas_kWh,HH_rest_gas_kWh)/1000)*0.902</f>
        <v>33311.838733752367</v>
      </c>
      <c r="E5" s="17">
        <f>B46*B57</f>
        <v>12546.622862558721</v>
      </c>
      <c r="F5" s="17">
        <f>B51*B62</f>
        <v>52711.140430745407</v>
      </c>
      <c r="G5" s="18"/>
      <c r="H5" s="17"/>
      <c r="I5" s="17"/>
      <c r="J5" s="17">
        <f>B50*B61+C50*C61</f>
        <v>0</v>
      </c>
      <c r="K5" s="17"/>
      <c r="L5" s="17"/>
      <c r="M5" s="17"/>
      <c r="N5" s="17">
        <f>B48*B59+C48*C59</f>
        <v>7789.2862453034386</v>
      </c>
      <c r="O5" s="17">
        <f>B69*B70*B71</f>
        <v>312.66666666666669</v>
      </c>
      <c r="P5" s="17">
        <f>B77*B78*B79/1000-B77*B78*B79/1000/B80</f>
        <v>800.8</v>
      </c>
    </row>
    <row r="6" spans="1:16">
      <c r="A6" s="16" t="s">
        <v>621</v>
      </c>
      <c r="B6" s="843">
        <f>kWh_PV_kleiner_dan_10kW</f>
        <v>3140.9751346724147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27291.193292354415</v>
      </c>
      <c r="C8" s="21">
        <f>C5</f>
        <v>0</v>
      </c>
      <c r="D8" s="21">
        <f>D5</f>
        <v>33311.838733752367</v>
      </c>
      <c r="E8" s="21">
        <f>E5</f>
        <v>12546.622862558721</v>
      </c>
      <c r="F8" s="21">
        <f>F5</f>
        <v>52711.140430745407</v>
      </c>
      <c r="G8" s="21"/>
      <c r="H8" s="21"/>
      <c r="I8" s="21"/>
      <c r="J8" s="21">
        <f>J5</f>
        <v>0</v>
      </c>
      <c r="K8" s="21"/>
      <c r="L8" s="21">
        <f>L5</f>
        <v>0</v>
      </c>
      <c r="M8" s="21">
        <f>M5</f>
        <v>0</v>
      </c>
      <c r="N8" s="21">
        <f>N5</f>
        <v>7789.2862453034386</v>
      </c>
      <c r="O8" s="21">
        <f>O5</f>
        <v>312.66666666666669</v>
      </c>
      <c r="P8" s="21">
        <f>P5</f>
        <v>800.8</v>
      </c>
    </row>
    <row r="9" spans="1:16">
      <c r="B9" s="19"/>
      <c r="C9" s="19"/>
      <c r="D9" s="258"/>
      <c r="E9" s="19"/>
      <c r="F9" s="19"/>
      <c r="G9" s="19"/>
      <c r="H9" s="19"/>
      <c r="I9" s="19"/>
      <c r="J9" s="19"/>
      <c r="K9" s="19"/>
      <c r="L9" s="19"/>
      <c r="M9" s="19"/>
      <c r="N9" s="19"/>
      <c r="O9" s="19"/>
      <c r="P9" s="19"/>
    </row>
    <row r="10" spans="1:16">
      <c r="A10" s="24" t="s">
        <v>214</v>
      </c>
      <c r="B10" s="25">
        <f ca="1">'EF ele_warmte'!B12</f>
        <v>0.19753848020382303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5391.0608459204605</v>
      </c>
      <c r="C12" s="23">
        <f ca="1">C10*C8</f>
        <v>0</v>
      </c>
      <c r="D12" s="23">
        <f>D8*D10</f>
        <v>6728.9914242179784</v>
      </c>
      <c r="E12" s="23">
        <f>E10*E8</f>
        <v>2848.0833898008295</v>
      </c>
      <c r="F12" s="23">
        <f>F10*F8</f>
        <v>14073.874495009024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2</v>
      </c>
      <c r="C19" s="166" t="s">
        <v>111</v>
      </c>
      <c r="D19" s="229"/>
      <c r="E19" s="15"/>
    </row>
    <row r="20" spans="1:7">
      <c r="A20" s="171" t="s">
        <v>73</v>
      </c>
      <c r="B20" s="37">
        <f>aantalw2001_propaan</f>
        <v>258</v>
      </c>
      <c r="C20" s="167">
        <f>IF(ISERROR(B20/SUM($B$20,$B$21,$B$22)*100),0,B20/SUM($B$20,$B$21,$B$22)*100)</f>
        <v>34.817813765182187</v>
      </c>
      <c r="D20" s="229"/>
      <c r="E20" s="15"/>
    </row>
    <row r="21" spans="1:7">
      <c r="A21" s="171" t="s">
        <v>74</v>
      </c>
      <c r="B21" s="37">
        <f>aantalw2001_elektriciteit</f>
        <v>436</v>
      </c>
      <c r="C21" s="167">
        <f>IF(ISERROR(B21/SUM($B$20,$B$21,$B$22)*100),0,B21/SUM($B$20,$B$21,$B$22)*100)</f>
        <v>58.83940620782726</v>
      </c>
      <c r="D21" s="229"/>
      <c r="E21" s="15"/>
    </row>
    <row r="22" spans="1:7">
      <c r="A22" s="171" t="s">
        <v>75</v>
      </c>
      <c r="B22" s="37">
        <f>aantalw2001_hout</f>
        <v>47</v>
      </c>
      <c r="C22" s="167">
        <f>IF(ISERROR(B22/SUM($B$20,$B$21,$B$22)*100),0,B22/SUM($B$20,$B$21,$B$22)*100)</f>
        <v>6.3427800269905532</v>
      </c>
      <c r="D22" s="229"/>
      <c r="E22" s="15"/>
    </row>
    <row r="23" spans="1:7">
      <c r="A23" s="171" t="s">
        <v>76</v>
      </c>
      <c r="B23" s="37">
        <f>aantalw2001_niet_gespec</f>
        <v>58</v>
      </c>
      <c r="C23" s="166" t="s">
        <v>111</v>
      </c>
      <c r="D23" s="228"/>
      <c r="E23" s="15"/>
    </row>
    <row r="24" spans="1:7">
      <c r="A24" s="171" t="s">
        <v>77</v>
      </c>
      <c r="B24" s="37">
        <f>aantalw2001_steenkool</f>
        <v>127</v>
      </c>
      <c r="C24" s="166" t="s">
        <v>111</v>
      </c>
      <c r="D24" s="229"/>
      <c r="E24" s="15"/>
    </row>
    <row r="25" spans="1:7">
      <c r="A25" s="171" t="s">
        <v>78</v>
      </c>
      <c r="B25" s="37">
        <f>aantalw2001_stookolie</f>
        <v>3603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5992</v>
      </c>
      <c r="C28" s="36"/>
      <c r="D28" s="228"/>
    </row>
    <row r="29" spans="1:7" s="15" customFormat="1">
      <c r="A29" s="230" t="s">
        <v>795</v>
      </c>
      <c r="B29" s="37">
        <f>SUM(HH_hh_gas_aantal,HH_rest_gas_aantal)</f>
        <v>2212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2212</v>
      </c>
      <c r="C32" s="167">
        <f>IF(ISERROR(B32/SUM($B$32,$B$34,$B$35,$B$36,$B$38,$B$39)*100),0,B32/SUM($B$32,$B$34,$B$35,$B$36,$B$38,$B$39)*100)</f>
        <v>37.176470588235297</v>
      </c>
      <c r="D32" s="233"/>
      <c r="G32" s="15"/>
    </row>
    <row r="33" spans="1:7">
      <c r="A33" s="171" t="s">
        <v>72</v>
      </c>
      <c r="B33" s="34" t="s">
        <v>111</v>
      </c>
      <c r="C33" s="167"/>
      <c r="D33" s="233"/>
      <c r="G33" s="15"/>
    </row>
    <row r="34" spans="1:7">
      <c r="A34" s="171" t="s">
        <v>73</v>
      </c>
      <c r="B34" s="33">
        <f>IF((($B$28-$B$32-$B$39-$B$77-$B$38)*C20/100)&lt;0,0,($B$28-$B$32-$B$39-$B$77-$B$38)*C20/100)</f>
        <v>592.56437246963571</v>
      </c>
      <c r="C34" s="167">
        <f>IF(ISERROR(B34/SUM($B$32,$B$34,$B$35,$B$36,$B$38,$B$39)*100),0,B34/SUM($B$32,$B$34,$B$35,$B$36,$B$38,$B$39)*100)</f>
        <v>9.9590650835232903</v>
      </c>
      <c r="D34" s="233"/>
      <c r="G34" s="15"/>
    </row>
    <row r="35" spans="1:7">
      <c r="A35" s="171" t="s">
        <v>74</v>
      </c>
      <c r="B35" s="33">
        <f>IF((($B$28-$B$32-$B$39-$B$77-$B$38)*C21/100)&lt;0,0,($B$28-$B$32-$B$39-$B$77-$B$38)*C21/100)</f>
        <v>1001.3878542510122</v>
      </c>
      <c r="C35" s="167">
        <f>IF(ISERROR(B35/SUM($B$32,$B$34,$B$35,$B$36,$B$38,$B$39)*100),0,B35/SUM($B$32,$B$34,$B$35,$B$36,$B$38,$B$39)*100)</f>
        <v>16.830047970605246</v>
      </c>
      <c r="D35" s="233"/>
      <c r="G35" s="15"/>
    </row>
    <row r="36" spans="1:7">
      <c r="A36" s="171" t="s">
        <v>75</v>
      </c>
      <c r="B36" s="33">
        <f>IF((($B$28-$B$32-$B$39-$B$77-$B$38)*C22/100)&lt;0,0,($B$28-$B$32-$B$39-$B$77-$B$38)*C22/100)</f>
        <v>107.94777327935222</v>
      </c>
      <c r="C36" s="167">
        <f>IF(ISERROR(B36/SUM($B$32,$B$34,$B$35,$B$36,$B$38,$B$39)*100),0,B36/SUM($B$32,$B$34,$B$35,$B$36,$B$38,$B$39)*100)</f>
        <v>1.8142482904092809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2036.1</v>
      </c>
      <c r="C39" s="167">
        <f>IF(ISERROR(B39/SUM($B$32,$B$34,$B$35,$B$36,$B$38,$B$39)*100),0,B39/SUM($B$32,$B$34,$B$35,$B$36,$B$38,$B$39)*100)</f>
        <v>34.220168067226894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2212</v>
      </c>
      <c r="C44" s="34" t="s">
        <v>111</v>
      </c>
      <c r="D44" s="174"/>
    </row>
    <row r="45" spans="1:7">
      <c r="A45" s="171" t="s">
        <v>72</v>
      </c>
      <c r="B45" s="33" t="str">
        <f t="shared" si="0"/>
        <v>-</v>
      </c>
      <c r="C45" s="34" t="s">
        <v>111</v>
      </c>
      <c r="D45" s="174"/>
    </row>
    <row r="46" spans="1:7">
      <c r="A46" s="171" t="s">
        <v>73</v>
      </c>
      <c r="B46" s="33">
        <f t="shared" si="0"/>
        <v>592.56437246963571</v>
      </c>
      <c r="C46" s="34" t="s">
        <v>111</v>
      </c>
      <c r="D46" s="174"/>
    </row>
    <row r="47" spans="1:7">
      <c r="A47" s="171" t="s">
        <v>74</v>
      </c>
      <c r="B47" s="33">
        <f t="shared" si="0"/>
        <v>1001.3878542510122</v>
      </c>
      <c r="C47" s="34" t="s">
        <v>111</v>
      </c>
      <c r="D47" s="174"/>
    </row>
    <row r="48" spans="1:7">
      <c r="A48" s="171" t="s">
        <v>75</v>
      </c>
      <c r="B48" s="33">
        <f t="shared" si="0"/>
        <v>107.94777327935222</v>
      </c>
      <c r="C48" s="33">
        <f>B48*10</f>
        <v>1079.4777327935221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2036.1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10517.802424428128</v>
      </c>
      <c r="C5" s="17">
        <f>IF(ISERROR('Eigen informatie GS &amp; warmtenet'!B58),0,'Eigen informatie GS &amp; warmtenet'!B58)</f>
        <v>0</v>
      </c>
      <c r="D5" s="30">
        <f>SUM(D6:D12)</f>
        <v>11796.549777850745</v>
      </c>
      <c r="E5" s="17">
        <f>SUM(E6:E12)</f>
        <v>190.30483876523977</v>
      </c>
      <c r="F5" s="17">
        <f>SUM(F6:F12)</f>
        <v>1896.6725197855326</v>
      </c>
      <c r="G5" s="18"/>
      <c r="H5" s="17"/>
      <c r="I5" s="17"/>
      <c r="J5" s="17">
        <f>SUM(J6:J12)</f>
        <v>3.0416828290257124E-2</v>
      </c>
      <c r="K5" s="17"/>
      <c r="L5" s="17"/>
      <c r="M5" s="17"/>
      <c r="N5" s="17">
        <f>SUM(N6:N12)</f>
        <v>1205.9848905874442</v>
      </c>
      <c r="O5" s="17">
        <f>B38*B39*B40</f>
        <v>1.5633333333333335</v>
      </c>
      <c r="P5" s="17">
        <f>B46*B47*B48/1000-B46*B47*B48/1000/B49</f>
        <v>19.066666666666666</v>
      </c>
      <c r="R5" s="32"/>
    </row>
    <row r="6" spans="1:18">
      <c r="A6" s="32" t="s">
        <v>54</v>
      </c>
      <c r="B6" s="37">
        <f>B26</f>
        <v>1561.7811711645681</v>
      </c>
      <c r="C6" s="33"/>
      <c r="D6" s="37">
        <f>IF(ISERROR(TER_kantoor_gas_kWh/1000),0,TER_kantoor_gas_kWh/1000)*0.902</f>
        <v>774.11046563595357</v>
      </c>
      <c r="E6" s="33">
        <f>$C$26*'E Balans VL '!I12/100/3.6*1000000</f>
        <v>9.7887249405797482E-3</v>
      </c>
      <c r="F6" s="33">
        <f>$C$26*('E Balans VL '!L12+'E Balans VL '!N12)/100/3.6*1000000</f>
        <v>234.69206969796997</v>
      </c>
      <c r="G6" s="34"/>
      <c r="H6" s="33"/>
      <c r="I6" s="33"/>
      <c r="J6" s="33">
        <f>$C$26*('E Balans VL '!D12+'E Balans VL '!E12)/100/3.6*1000000</f>
        <v>0</v>
      </c>
      <c r="K6" s="33"/>
      <c r="L6" s="33"/>
      <c r="M6" s="33"/>
      <c r="N6" s="33">
        <f>$C$26*'E Balans VL '!Y12/100/3.6*1000000</f>
        <v>1.4936121307479833</v>
      </c>
      <c r="O6" s="33"/>
      <c r="P6" s="33"/>
      <c r="R6" s="32"/>
    </row>
    <row r="7" spans="1:18">
      <c r="A7" s="32" t="s">
        <v>53</v>
      </c>
      <c r="B7" s="37">
        <f t="shared" ref="B7:B12" si="0">B27</f>
        <v>1274.3048985544201</v>
      </c>
      <c r="C7" s="33"/>
      <c r="D7" s="37">
        <f>IF(ISERROR(TER_horeca_gas_kWh/1000),0,TER_horeca_gas_kWh/1000)*0.902</f>
        <v>1141.5873247118984</v>
      </c>
      <c r="E7" s="33">
        <f>$C$27*'E Balans VL '!I9/100/3.6*1000000</f>
        <v>18.247833888622981</v>
      </c>
      <c r="F7" s="33">
        <f>$C$27*('E Balans VL '!L9+'E Balans VL '!N9)/100/3.6*1000000</f>
        <v>161.36902835171648</v>
      </c>
      <c r="G7" s="34"/>
      <c r="H7" s="33"/>
      <c r="I7" s="33"/>
      <c r="J7" s="33">
        <f>$C$27*('E Balans VL '!D9+'E Balans VL '!E9)/100/3.6*1000000</f>
        <v>0</v>
      </c>
      <c r="K7" s="33"/>
      <c r="L7" s="33"/>
      <c r="M7" s="33"/>
      <c r="N7" s="33">
        <f>$C$27*'E Balans VL '!Y9/100/3.6*1000000</f>
        <v>0.36633456232313494</v>
      </c>
      <c r="O7" s="33"/>
      <c r="P7" s="33"/>
      <c r="R7" s="32"/>
    </row>
    <row r="8" spans="1:18">
      <c r="A8" s="6" t="s">
        <v>52</v>
      </c>
      <c r="B8" s="37">
        <f t="shared" si="0"/>
        <v>3855.37892760861</v>
      </c>
      <c r="C8" s="33"/>
      <c r="D8" s="37">
        <f>IF(ISERROR(TER_handel_gas_kWh/1000),0,TER_handel_gas_kWh/1000)*0.902</f>
        <v>1110.4824972618903</v>
      </c>
      <c r="E8" s="33">
        <f>$C$28*'E Balans VL '!I13/100/3.6*1000000</f>
        <v>139.83411828033468</v>
      </c>
      <c r="F8" s="33">
        <f>$C$28*('E Balans VL '!L13+'E Balans VL '!N13)/100/3.6*1000000</f>
        <v>742.58501965103119</v>
      </c>
      <c r="G8" s="34"/>
      <c r="H8" s="33"/>
      <c r="I8" s="33"/>
      <c r="J8" s="33">
        <f>$C$28*('E Balans VL '!D13+'E Balans VL '!E13)/100/3.6*1000000</f>
        <v>0</v>
      </c>
      <c r="K8" s="33"/>
      <c r="L8" s="33"/>
      <c r="M8" s="33"/>
      <c r="N8" s="33">
        <f>$C$28*'E Balans VL '!Y13/100/3.6*1000000</f>
        <v>5.3405868978664452</v>
      </c>
      <c r="O8" s="33"/>
      <c r="P8" s="33"/>
      <c r="R8" s="32"/>
    </row>
    <row r="9" spans="1:18">
      <c r="A9" s="32" t="s">
        <v>51</v>
      </c>
      <c r="B9" s="37">
        <f t="shared" si="0"/>
        <v>231.61312835314607</v>
      </c>
      <c r="C9" s="33"/>
      <c r="D9" s="37">
        <f>IF(ISERROR(TER_gezond_gas_kWh/1000),0,TER_gezond_gas_kWh/1000)*0.902</f>
        <v>0</v>
      </c>
      <c r="E9" s="33">
        <f>$C$29*'E Balans VL '!I10/100/3.6*1000000</f>
        <v>1.4501268601421176E-2</v>
      </c>
      <c r="F9" s="33">
        <f>$C$29*('E Balans VL '!L10+'E Balans VL '!N10)/100/3.6*1000000</f>
        <v>34.406835411676475</v>
      </c>
      <c r="G9" s="34"/>
      <c r="H9" s="33"/>
      <c r="I9" s="33"/>
      <c r="J9" s="33">
        <f>$C$29*('E Balans VL '!D10+'E Balans VL '!E10)/100/3.6*1000000</f>
        <v>0</v>
      </c>
      <c r="K9" s="33"/>
      <c r="L9" s="33"/>
      <c r="M9" s="33"/>
      <c r="N9" s="33">
        <f>$C$29*'E Balans VL '!Y10/100/3.6*1000000</f>
        <v>3.5826142181229739</v>
      </c>
      <c r="O9" s="33"/>
      <c r="P9" s="33"/>
      <c r="R9" s="32"/>
    </row>
    <row r="10" spans="1:18">
      <c r="A10" s="32" t="s">
        <v>50</v>
      </c>
      <c r="B10" s="37">
        <f t="shared" si="0"/>
        <v>1145.65403341605</v>
      </c>
      <c r="C10" s="33"/>
      <c r="D10" s="37">
        <f>IF(ISERROR(TER_ander_gas_kWh/1000),0,TER_ander_gas_kWh/1000)*0.902</f>
        <v>1276.7912056466002</v>
      </c>
      <c r="E10" s="33">
        <f>$C$30*'E Balans VL '!I14/100/3.6*1000000</f>
        <v>1.3655786690742118</v>
      </c>
      <c r="F10" s="33">
        <f>$C$30*('E Balans VL '!L14+'E Balans VL '!N14)/100/3.6*1000000</f>
        <v>299.75402691962245</v>
      </c>
      <c r="G10" s="34"/>
      <c r="H10" s="33"/>
      <c r="I10" s="33"/>
      <c r="J10" s="33">
        <f>$C$30*('E Balans VL '!D14+'E Balans VL '!E14)/100/3.6*1000000</f>
        <v>2.4867658225652345E-2</v>
      </c>
      <c r="K10" s="33"/>
      <c r="L10" s="33"/>
      <c r="M10" s="33"/>
      <c r="N10" s="33">
        <f>$C$30*'E Balans VL '!Y14/100/3.6*1000000</f>
        <v>972.86137141731524</v>
      </c>
      <c r="O10" s="33"/>
      <c r="P10" s="33"/>
      <c r="R10" s="32"/>
    </row>
    <row r="11" spans="1:18">
      <c r="A11" s="32" t="s">
        <v>55</v>
      </c>
      <c r="B11" s="37">
        <f t="shared" si="0"/>
        <v>157.469095572794</v>
      </c>
      <c r="C11" s="33"/>
      <c r="D11" s="37">
        <f>IF(ISERROR(TER_onderwijs_gas_kWh/1000),0,TER_onderwijs_gas_kWh/1000)*0.902</f>
        <v>640.63900918440822</v>
      </c>
      <c r="E11" s="33">
        <f>$C$31*'E Balans VL '!I11/100/3.6*1000000</f>
        <v>2.3759550240976242</v>
      </c>
      <c r="F11" s="33">
        <f>$C$31*('E Balans VL '!L11+'E Balans VL '!N11)/100/3.6*1000000</f>
        <v>27.591101187994845</v>
      </c>
      <c r="G11" s="34"/>
      <c r="H11" s="33"/>
      <c r="I11" s="33"/>
      <c r="J11" s="33">
        <f>$C$31*('E Balans VL '!D11+'E Balans VL '!E11)/100/3.6*1000000</f>
        <v>0</v>
      </c>
      <c r="K11" s="33"/>
      <c r="L11" s="33"/>
      <c r="M11" s="33"/>
      <c r="N11" s="33">
        <f>$C$31*'E Balans VL '!Y11/100/3.6*1000000</f>
        <v>0.44313000619837567</v>
      </c>
      <c r="O11" s="33"/>
      <c r="P11" s="33"/>
      <c r="R11" s="32"/>
    </row>
    <row r="12" spans="1:18">
      <c r="A12" s="32" t="s">
        <v>260</v>
      </c>
      <c r="B12" s="37">
        <f t="shared" si="0"/>
        <v>2291.60116975854</v>
      </c>
      <c r="C12" s="33"/>
      <c r="D12" s="37">
        <f>IF(ISERROR(TER_rest_gas_kWh/1000),0,TER_rest_gas_kWh/1000)*0.902</f>
        <v>6852.9392754099963</v>
      </c>
      <c r="E12" s="33">
        <f>$C$32*'E Balans VL '!I8/100/3.6*1000000</f>
        <v>28.457062909568251</v>
      </c>
      <c r="F12" s="33">
        <f>$C$32*('E Balans VL '!L8+'E Balans VL '!N8)/100/3.6*1000000</f>
        <v>396.27443856552111</v>
      </c>
      <c r="G12" s="34"/>
      <c r="H12" s="33"/>
      <c r="I12" s="33"/>
      <c r="J12" s="33">
        <f>$C$32*('E Balans VL '!D8+'E Balans VL '!E8)/100/3.6*1000000</f>
        <v>5.5491700646047807E-3</v>
      </c>
      <c r="K12" s="33"/>
      <c r="L12" s="33"/>
      <c r="M12" s="33"/>
      <c r="N12" s="33">
        <f>$C$32*'E Balans VL '!Y8/100/3.6*1000000</f>
        <v>221.89724135486995</v>
      </c>
      <c r="O12" s="33"/>
      <c r="P12" s="33"/>
      <c r="R12" s="32"/>
    </row>
    <row r="13" spans="1:18">
      <c r="A13" s="16" t="s">
        <v>488</v>
      </c>
      <c r="B13" s="247">
        <f ca="1">'lokale energieproductie'!N90+'lokale energieproductie'!N59</f>
        <v>112.5</v>
      </c>
      <c r="C13" s="247">
        <f ca="1">'lokale energieproductie'!O90+'lokale energieproductie'!O59</f>
        <v>126.5625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-281.25</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10630.302424428128</v>
      </c>
      <c r="C16" s="21">
        <f t="shared" ca="1" si="1"/>
        <v>126.5625</v>
      </c>
      <c r="D16" s="21">
        <f t="shared" ca="1" si="1"/>
        <v>11796.549777850745</v>
      </c>
      <c r="E16" s="21">
        <f t="shared" si="1"/>
        <v>190.30483876523977</v>
      </c>
      <c r="F16" s="21">
        <f t="shared" ca="1" si="1"/>
        <v>1896.6725197855326</v>
      </c>
      <c r="G16" s="21">
        <f t="shared" si="1"/>
        <v>0</v>
      </c>
      <c r="H16" s="21">
        <f t="shared" si="1"/>
        <v>0</v>
      </c>
      <c r="I16" s="21">
        <f t="shared" si="1"/>
        <v>0</v>
      </c>
      <c r="J16" s="21">
        <f t="shared" si="1"/>
        <v>3.0416828290257124E-2</v>
      </c>
      <c r="K16" s="21">
        <f t="shared" si="1"/>
        <v>0</v>
      </c>
      <c r="L16" s="21">
        <f t="shared" ca="1" si="1"/>
        <v>0</v>
      </c>
      <c r="M16" s="21">
        <f t="shared" si="1"/>
        <v>0</v>
      </c>
      <c r="N16" s="21">
        <f t="shared" ca="1" si="1"/>
        <v>1205.9848905874442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0.19753848020382303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2099.8937850285479</v>
      </c>
      <c r="C20" s="23">
        <f t="shared" ref="C20:P20" ca="1" si="2">C16*C18</f>
        <v>0</v>
      </c>
      <c r="D20" s="23">
        <f t="shared" ca="1" si="2"/>
        <v>2382.9030551258506</v>
      </c>
      <c r="E20" s="23">
        <f t="shared" si="2"/>
        <v>43.199198399709431</v>
      </c>
      <c r="F20" s="23">
        <f t="shared" ca="1" si="2"/>
        <v>506.41156278273724</v>
      </c>
      <c r="G20" s="23">
        <f t="shared" si="2"/>
        <v>0</v>
      </c>
      <c r="H20" s="23">
        <f t="shared" si="2"/>
        <v>0</v>
      </c>
      <c r="I20" s="23">
        <f t="shared" si="2"/>
        <v>0</v>
      </c>
      <c r="J20" s="23">
        <f t="shared" si="2"/>
        <v>1.0767557214751021E-2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1561.7811711645681</v>
      </c>
      <c r="C26" s="39">
        <f>IF(ISERROR(B26*3.6/1000000/'E Balans VL '!Z12*100),0,B26*3.6/1000000/'E Balans VL '!Z12*100)</f>
        <v>3.3013579897201377E-2</v>
      </c>
      <c r="D26" s="237" t="s">
        <v>754</v>
      </c>
      <c r="F26" s="6"/>
    </row>
    <row r="27" spans="1:18">
      <c r="A27" s="231" t="s">
        <v>53</v>
      </c>
      <c r="B27" s="33">
        <f>IF(ISERROR(TER_horeca_ele_kWh/1000),0,TER_horeca_ele_kWh/1000)</f>
        <v>1274.3048985544201</v>
      </c>
      <c r="C27" s="39">
        <f>IF(ISERROR(B27*3.6/1000000/'E Balans VL '!Z9*100),0,B27*3.6/1000000/'E Balans VL '!Z9*100)</f>
        <v>0.10045298019536179</v>
      </c>
      <c r="D27" s="237" t="s">
        <v>754</v>
      </c>
      <c r="F27" s="6"/>
    </row>
    <row r="28" spans="1:18">
      <c r="A28" s="171" t="s">
        <v>52</v>
      </c>
      <c r="B28" s="33">
        <f>IF(ISERROR(TER_handel_ele_kWh/1000),0,TER_handel_ele_kWh/1000)</f>
        <v>3855.37892760861</v>
      </c>
      <c r="C28" s="39">
        <f>IF(ISERROR(B28*3.6/1000000/'E Balans VL '!Z13*100),0,B28*3.6/1000000/'E Balans VL '!Z13*100)</f>
        <v>0.11189867395562073</v>
      </c>
      <c r="D28" s="237" t="s">
        <v>754</v>
      </c>
      <c r="F28" s="6"/>
    </row>
    <row r="29" spans="1:18">
      <c r="A29" s="231" t="s">
        <v>51</v>
      </c>
      <c r="B29" s="33">
        <f>IF(ISERROR(TER_gezond_ele_kWh/1000),0,TER_gezond_ele_kWh/1000)</f>
        <v>231.61312835314607</v>
      </c>
      <c r="C29" s="39">
        <f>IF(ISERROR(B29*3.6/1000000/'E Balans VL '!Z10*100),0,B29*3.6/1000000/'E Balans VL '!Z10*100)</f>
        <v>2.4392665603543303E-2</v>
      </c>
      <c r="D29" s="237" t="s">
        <v>754</v>
      </c>
      <c r="F29" s="6"/>
    </row>
    <row r="30" spans="1:18">
      <c r="A30" s="231" t="s">
        <v>50</v>
      </c>
      <c r="B30" s="33">
        <f>IF(ISERROR(TER_ander_ele_kWh/1000),0,TER_ander_ele_kWh/1000)</f>
        <v>1145.65403341605</v>
      </c>
      <c r="C30" s="39">
        <f>IF(ISERROR(B30*3.6/1000000/'E Balans VL '!Z14*100),0,B30*3.6/1000000/'E Balans VL '!Z14*100)</f>
        <v>8.4503690339586116E-2</v>
      </c>
      <c r="D30" s="237" t="s">
        <v>754</v>
      </c>
      <c r="F30" s="6"/>
    </row>
    <row r="31" spans="1:18">
      <c r="A31" s="231" t="s">
        <v>55</v>
      </c>
      <c r="B31" s="33">
        <f>IF(ISERROR(TER_onderwijs_ele_kWh/1000),0,TER_onderwijs_ele_kWh/1000)</f>
        <v>157.469095572794</v>
      </c>
      <c r="C31" s="39">
        <f>IF(ISERROR(B31*3.6/1000000/'E Balans VL '!Z11*100),0,B31*3.6/1000000/'E Balans VL '!Z11*100)</f>
        <v>3.9106952717566111E-2</v>
      </c>
      <c r="D31" s="237" t="s">
        <v>754</v>
      </c>
    </row>
    <row r="32" spans="1:18">
      <c r="A32" s="231" t="s">
        <v>260</v>
      </c>
      <c r="B32" s="33">
        <f>IF(ISERROR(TER_rest_ele_kWh/1000),0,TER_rest_ele_kWh/1000)</f>
        <v>2291.60116975854</v>
      </c>
      <c r="C32" s="39">
        <f>IF(ISERROR(B32*3.6/1000000/'E Balans VL '!Z8*100),0,B32*3.6/1000000/'E Balans VL '!Z8*100)</f>
        <v>1.8856835835766049E-2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1225.1146841069942</v>
      </c>
      <c r="C5" s="17">
        <f>IF(ISERROR('Eigen informatie GS &amp; warmtenet'!B59),0,'Eigen informatie GS &amp; warmtenet'!B59)</f>
        <v>0</v>
      </c>
      <c r="D5" s="30">
        <f>SUM(D6:D15)</f>
        <v>903.77704685593494</v>
      </c>
      <c r="E5" s="17">
        <f>SUM(E6:E15)</f>
        <v>269.36688793235965</v>
      </c>
      <c r="F5" s="17">
        <f>SUM(F6:F15)</f>
        <v>757.82093966059369</v>
      </c>
      <c r="G5" s="18"/>
      <c r="H5" s="17"/>
      <c r="I5" s="17"/>
      <c r="J5" s="17">
        <f>SUM(J6:J15)</f>
        <v>0.33164271669138196</v>
      </c>
      <c r="K5" s="17"/>
      <c r="L5" s="17"/>
      <c r="M5" s="17"/>
      <c r="N5" s="17">
        <f>SUM(N6:N15)</f>
        <v>377.5768241542238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28.416</v>
      </c>
      <c r="C8" s="33"/>
      <c r="D8" s="37">
        <f>IF( ISERROR(IND_metaal_Gas_kWH/1000),0,IND_metaal_Gas_kWH/1000)*0.902</f>
        <v>0</v>
      </c>
      <c r="E8" s="33">
        <f>C30*'E Balans VL '!I18/100/3.6*1000000</f>
        <v>0.26125767556620266</v>
      </c>
      <c r="F8" s="33">
        <f>C30*'E Balans VL '!L18/100/3.6*1000000+C30*'E Balans VL '!N18/100/3.6*1000000</f>
        <v>2.6644747355950238</v>
      </c>
      <c r="G8" s="34"/>
      <c r="H8" s="33"/>
      <c r="I8" s="33"/>
      <c r="J8" s="40">
        <f>C30*'E Balans VL '!D18/100/3.6*1000000+C30*'E Balans VL '!E18/100/3.6*1000000</f>
        <v>0</v>
      </c>
      <c r="K8" s="33"/>
      <c r="L8" s="33"/>
      <c r="M8" s="33"/>
      <c r="N8" s="33">
        <f>C30*'E Balans VL '!Y18/100/3.6*1000000</f>
        <v>0.40540119941751029</v>
      </c>
      <c r="O8" s="33"/>
      <c r="P8" s="33"/>
      <c r="R8" s="32"/>
    </row>
    <row r="9" spans="1:18">
      <c r="A9" s="6" t="s">
        <v>33</v>
      </c>
      <c r="B9" s="37">
        <f t="shared" si="0"/>
        <v>901.78595646533097</v>
      </c>
      <c r="C9" s="33"/>
      <c r="D9" s="37">
        <f>IF( ISERROR(IND_andere_gas_kWh/1000),0,IND_andere_gas_kWh/1000)*0.902</f>
        <v>284.33829609626838</v>
      </c>
      <c r="E9" s="33">
        <f>C31*'E Balans VL '!I19/100/3.6*1000000</f>
        <v>263.60959077670555</v>
      </c>
      <c r="F9" s="33">
        <f>C31*'E Balans VL '!L19/100/3.6*1000000+C31*'E Balans VL '!N19/100/3.6*1000000</f>
        <v>724.65327494476344</v>
      </c>
      <c r="G9" s="34"/>
      <c r="H9" s="33"/>
      <c r="I9" s="33"/>
      <c r="J9" s="40">
        <f>C31*'E Balans VL '!D19/100/3.6*1000000+C31*'E Balans VL '!E19/100/3.6*1000000</f>
        <v>0</v>
      </c>
      <c r="K9" s="33"/>
      <c r="L9" s="33"/>
      <c r="M9" s="33"/>
      <c r="N9" s="33">
        <f>C31*'E Balans VL '!Y19/100/3.6*1000000</f>
        <v>297.96406572474257</v>
      </c>
      <c r="O9" s="33"/>
      <c r="P9" s="33"/>
      <c r="R9" s="32"/>
    </row>
    <row r="10" spans="1:18">
      <c r="A10" s="6" t="s">
        <v>41</v>
      </c>
      <c r="B10" s="37">
        <f t="shared" si="0"/>
        <v>187.245821375611</v>
      </c>
      <c r="C10" s="33"/>
      <c r="D10" s="37">
        <f>IF( ISERROR(IND_voed_gas_kWh/1000),0,IND_voed_gas_kWh/1000)*0.902</f>
        <v>0</v>
      </c>
      <c r="E10" s="33">
        <f>C32*'E Balans VL '!I20/100/3.6*1000000</f>
        <v>0.3961214384009516</v>
      </c>
      <c r="F10" s="33">
        <f>C32*'E Balans VL '!L20/100/3.6*1000000+C32*'E Balans VL '!N20/100/3.6*1000000</f>
        <v>11.905280589059092</v>
      </c>
      <c r="G10" s="34"/>
      <c r="H10" s="33"/>
      <c r="I10" s="33"/>
      <c r="J10" s="40">
        <f>C32*'E Balans VL '!D20/100/3.6*1000000+C32*'E Balans VL '!E20/100/3.6*1000000</f>
        <v>0</v>
      </c>
      <c r="K10" s="33"/>
      <c r="L10" s="33"/>
      <c r="M10" s="33"/>
      <c r="N10" s="33">
        <f>C32*'E Balans VL '!Y20/100/3.6*1000000</f>
        <v>12.921809461832396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15.7073602820948</v>
      </c>
      <c r="C13" s="33"/>
      <c r="D13" s="37">
        <f>IF( ISERROR(IND_papier_gas_kWh/1000),0,IND_papier_gas_kWh/1000)*0.902</f>
        <v>63.777001580036448</v>
      </c>
      <c r="E13" s="33">
        <f>C35*'E Balans VL '!I23/100/3.6*1000000</f>
        <v>2.2285151994882537E-2</v>
      </c>
      <c r="F13" s="33">
        <f>C35*'E Balans VL '!L23/100/3.6*1000000+C35*'E Balans VL '!N23/100/3.6*1000000</f>
        <v>0.38347572796867802</v>
      </c>
      <c r="G13" s="34"/>
      <c r="H13" s="33"/>
      <c r="I13" s="33"/>
      <c r="J13" s="40">
        <f>C35*'E Balans VL '!D23/100/3.6*1000000+C35*'E Balans VL '!E23/100/3.6*1000000</f>
        <v>2.4292907373107161E-3</v>
      </c>
      <c r="K13" s="33"/>
      <c r="L13" s="33"/>
      <c r="M13" s="33"/>
      <c r="N13" s="33">
        <f>C35*'E Balans VL '!Y23/100/3.6*1000000</f>
        <v>45.657578152481307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91.959545983957298</v>
      </c>
      <c r="C15" s="33"/>
      <c r="D15" s="37">
        <f>IF( ISERROR(IND_rest_gas_kWh/1000),0,IND_rest_gas_kWh/1000)*0.902</f>
        <v>555.66174917963019</v>
      </c>
      <c r="E15" s="33">
        <f>C37*'E Balans VL '!I15/100/3.6*1000000</f>
        <v>5.0776328896920999</v>
      </c>
      <c r="F15" s="33">
        <f>C37*'E Balans VL '!L15/100/3.6*1000000+C37*'E Balans VL '!N15/100/3.6*1000000</f>
        <v>18.214433663207462</v>
      </c>
      <c r="G15" s="34"/>
      <c r="H15" s="33"/>
      <c r="I15" s="33"/>
      <c r="J15" s="40">
        <f>C37*'E Balans VL '!D15/100/3.6*1000000+C37*'E Balans VL '!E15/100/3.6*1000000</f>
        <v>0.32921342595407121</v>
      </c>
      <c r="K15" s="33"/>
      <c r="L15" s="33"/>
      <c r="M15" s="33"/>
      <c r="N15" s="33">
        <f>C37*'E Balans VL '!Y15/100/3.6*1000000</f>
        <v>20.627969615750089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1225.1146841069942</v>
      </c>
      <c r="C18" s="21">
        <f>C5+C16</f>
        <v>0</v>
      </c>
      <c r="D18" s="21">
        <f>MAX((D5+D16),0)</f>
        <v>903.77704685593494</v>
      </c>
      <c r="E18" s="21">
        <f>MAX((E5+E16),0)</f>
        <v>269.36688793235965</v>
      </c>
      <c r="F18" s="21">
        <f>MAX((F5+F16),0)</f>
        <v>757.82093966059369</v>
      </c>
      <c r="G18" s="21"/>
      <c r="H18" s="21"/>
      <c r="I18" s="21"/>
      <c r="J18" s="21">
        <f>MAX((J5+J16),0)</f>
        <v>0.33164271669138196</v>
      </c>
      <c r="K18" s="21"/>
      <c r="L18" s="21">
        <f>MAX((L5+L16),0)</f>
        <v>0</v>
      </c>
      <c r="M18" s="21"/>
      <c r="N18" s="21">
        <f>MAX((N5+N16),0)</f>
        <v>377.5768241542238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0.19753848020382303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242.00729277388237</v>
      </c>
      <c r="C22" s="23">
        <f ca="1">C18*C20</f>
        <v>0</v>
      </c>
      <c r="D22" s="23">
        <f>D18*D20</f>
        <v>182.56296346489887</v>
      </c>
      <c r="E22" s="23">
        <f>E18*E20</f>
        <v>61.146283560645642</v>
      </c>
      <c r="F22" s="23">
        <f>F18*F20</f>
        <v>202.33819088937852</v>
      </c>
      <c r="G22" s="23"/>
      <c r="H22" s="23"/>
      <c r="I22" s="23"/>
      <c r="J22" s="23">
        <f>J18*J20</f>
        <v>0.11740152170874921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28.416</v>
      </c>
      <c r="C30" s="39">
        <f>IF(ISERROR(B30*3.6/1000000/'E Balans VL '!Z18*100),0,B30*3.6/1000000/'E Balans VL '!Z18*100)</f>
        <v>1.6104075833896184E-3</v>
      </c>
      <c r="D30" s="237" t="s">
        <v>754</v>
      </c>
    </row>
    <row r="31" spans="1:18">
      <c r="A31" s="6" t="s">
        <v>33</v>
      </c>
      <c r="B31" s="37">
        <f>IF( ISERROR(IND_ander_ele_kWh/1000),0,IND_ander_ele_kWh/1000)</f>
        <v>901.78595646533097</v>
      </c>
      <c r="C31" s="39">
        <f>IF(ISERROR(B31*3.6/1000000/'E Balans VL '!Z19*100),0,B31*3.6/1000000/'E Balans VL '!Z19*100)</f>
        <v>4.0901256013898817E-2</v>
      </c>
      <c r="D31" s="237" t="s">
        <v>754</v>
      </c>
    </row>
    <row r="32" spans="1:18">
      <c r="A32" s="171" t="s">
        <v>41</v>
      </c>
      <c r="B32" s="37">
        <f>IF( ISERROR(IND_voed_ele_kWh/1000),0,IND_voed_ele_kWh/1000)</f>
        <v>187.245821375611</v>
      </c>
      <c r="C32" s="39">
        <f>IF(ISERROR(B32*3.6/1000000/'E Balans VL '!Z20*100),0,B32*3.6/1000000/'E Balans VL '!Z20*100)</f>
        <v>5.7923632794044761E-3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15.7073602820948</v>
      </c>
      <c r="C35" s="39">
        <f>IF(ISERROR(B35*3.6/1000000/'E Balans VL '!Z22*100),0,B35*3.6/1000000/'E Balans VL '!Z22*100)</f>
        <v>2.8252640507520793E-3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91.959545983957298</v>
      </c>
      <c r="C37" s="39">
        <f>IF(ISERROR(B37*3.6/1000000/'E Balans VL '!Z15*100),0,B37*3.6/1000000/'E Balans VL '!Z15*100)</f>
        <v>7.2889233898618816E-4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1741.8251520890001</v>
      </c>
      <c r="C5" s="17">
        <f>'Eigen informatie GS &amp; warmtenet'!B60</f>
        <v>0</v>
      </c>
      <c r="D5" s="30">
        <f>IF(ISERROR(SUM(LB_lb_gas_kWh,LB_rest_gas_kWh,onbekend_gas_kWh)/1000),0,SUM(LB_lb_gas_kWh,LB_rest_gas_kWh,onbekend_gas_kWh)/1000)*0.902</f>
        <v>979.60459909636404</v>
      </c>
      <c r="E5" s="17">
        <f>B17*'E Balans VL '!I25/3.6*1000000/100</f>
        <v>51.197561367969648</v>
      </c>
      <c r="F5" s="17">
        <f>B17*('E Balans VL '!L25/3.6*1000000+'E Balans VL '!N25/3.6*1000000)/100</f>
        <v>7256.349460311867</v>
      </c>
      <c r="G5" s="18"/>
      <c r="H5" s="17"/>
      <c r="I5" s="17"/>
      <c r="J5" s="17">
        <f>('E Balans VL '!D25+'E Balans VL '!E25)/3.6*1000000*landbouw!B17/100</f>
        <v>252.35305841437133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1741.8251520890001</v>
      </c>
      <c r="C8" s="21">
        <f>C5+C6</f>
        <v>0</v>
      </c>
      <c r="D8" s="21">
        <f>MAX((D5+D6),0)</f>
        <v>979.60459909636404</v>
      </c>
      <c r="E8" s="21">
        <f>MAX((E5+E6),0)</f>
        <v>51.197561367969648</v>
      </c>
      <c r="F8" s="21">
        <f>MAX((F5+F6),0)</f>
        <v>7256.349460311867</v>
      </c>
      <c r="G8" s="21"/>
      <c r="H8" s="21"/>
      <c r="I8" s="21"/>
      <c r="J8" s="21">
        <f>MAX((J5+J6),0)</f>
        <v>252.35305841437133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0.19753848020382303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344.077493324454</v>
      </c>
      <c r="C12" s="23">
        <f ca="1">C8*C10</f>
        <v>0</v>
      </c>
      <c r="D12" s="23">
        <f>D8*D10</f>
        <v>197.88012901746555</v>
      </c>
      <c r="E12" s="23">
        <f>E8*E10</f>
        <v>11.621846430529111</v>
      </c>
      <c r="F12" s="23">
        <f>F8*F10</f>
        <v>1937.4453059032685</v>
      </c>
      <c r="G12" s="23"/>
      <c r="H12" s="23"/>
      <c r="I12" s="23"/>
      <c r="J12" s="23">
        <f>J8*J10</f>
        <v>89.332982678687443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0.24717045389118408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9.4223656454026248</v>
      </c>
      <c r="C26" s="247">
        <f>B26*'GWP N2O_CH4'!B5</f>
        <v>197.86967855345512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1.9914339405670942</v>
      </c>
      <c r="C27" s="247">
        <f>B27*'GWP N2O_CH4'!B5</f>
        <v>41.820112751908979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0.19277067793440461</v>
      </c>
      <c r="C28" s="247">
        <f>B28*'GWP N2O_CH4'!B4</f>
        <v>59.758910159665426</v>
      </c>
      <c r="D28" s="50"/>
    </row>
    <row r="29" spans="1:4">
      <c r="A29" s="41" t="s">
        <v>277</v>
      </c>
      <c r="B29" s="247">
        <f>B34*'ha_N2O bodem landbouw'!B4</f>
        <v>1.9328738935815188</v>
      </c>
      <c r="C29" s="247">
        <f>B29*'GWP N2O_CH4'!B4</f>
        <v>599.19090701027085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4.410751615355378E-4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5.7591496619205054E-5</v>
      </c>
      <c r="C5" s="463" t="s">
        <v>211</v>
      </c>
      <c r="D5" s="448">
        <f>SUM(D6:D11)</f>
        <v>2.9284664666171759E-4</v>
      </c>
      <c r="E5" s="448">
        <f>SUM(E6:E11)</f>
        <v>3.7236469452301915E-4</v>
      </c>
      <c r="F5" s="461" t="s">
        <v>211</v>
      </c>
      <c r="G5" s="448">
        <f>SUM(G6:G11)</f>
        <v>0.10690566428130199</v>
      </c>
      <c r="H5" s="448">
        <f>SUM(H6:H11)</f>
        <v>3.2426145813537893E-2</v>
      </c>
      <c r="I5" s="463" t="s">
        <v>211</v>
      </c>
      <c r="J5" s="463" t="s">
        <v>211</v>
      </c>
      <c r="K5" s="463" t="s">
        <v>211</v>
      </c>
      <c r="L5" s="463" t="s">
        <v>211</v>
      </c>
      <c r="M5" s="448">
        <f>SUM(M6:M11)</f>
        <v>7.2083355375925674E-3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6.1234314682090188E-6</v>
      </c>
      <c r="C6" s="449"/>
      <c r="D6" s="962">
        <f>vkm_2011_GW_PW*SUMIFS(TableVerdeelsleutelVkm[CNG],TableVerdeelsleutelVkm[Voertuigtype],"Lichte voertuigen")*SUMIFS(TableECFTransport[EnergieConsumptieFactor (PJ per km)],TableECFTransport[Index],CONCATENATE($A6,"_CNG_CNG"))</f>
        <v>1.8366779874649421E-5</v>
      </c>
      <c r="E6" s="962">
        <f>vkm_2011_GW_PW*SUMIFS(TableVerdeelsleutelVkm[LPG],TableVerdeelsleutelVkm[Voertuigtype],"Lichte voertuigen")*SUMIFS(TableECFTransport[EnergieConsumptieFactor (PJ per km)],TableECFTransport[Index],CONCATENATE($A6,"_LPG_LPG"))</f>
        <v>2.5091659566680803E-5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6.4875529443916185E-3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2.0886444917244049E-3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4.4102288520658989E-4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2.5400822400404935E-3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7.7403004560904587E-7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1.4843397176334265E-4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5.1468065150996037E-5</v>
      </c>
      <c r="C8" s="449"/>
      <c r="D8" s="451">
        <f>vkm_2011_NGW_PW*SUMIFS(TableVerdeelsleutelVkm[CNG],TableVerdeelsleutelVkm[Voertuigtype],"Lichte voertuigen")*SUMIFS(TableECFTransport[EnergieConsumptieFactor (PJ per km)],TableECFTransport[Index],CONCATENATE($A8,"_CNG_CNG"))</f>
        <v>2.7447986678706817E-4</v>
      </c>
      <c r="E8" s="451">
        <f>vkm_2011_NGW_PW*SUMIFS(TableVerdeelsleutelVkm[LPG],TableVerdeelsleutelVkm[Voertuigtype],"Lichte voertuigen")*SUMIFS(TableECFTransport[EnergieConsumptieFactor (PJ per km)],TableECFTransport[Index],CONCATENATE($A8,"_LPG_LPG"))</f>
        <v>3.4727303495633833E-4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8.3673742802781961E-2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3.0332652457872686E-2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5.7888348789052191E-3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1.420428629408791E-2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4.0748338951976502E-6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8.300438017174158E-4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15.997637949779183</v>
      </c>
      <c r="C14" s="21"/>
      <c r="D14" s="21">
        <f t="shared" ref="D14:M14" si="0">((D5)*10^9/3600)+D12</f>
        <v>81.346290739365983</v>
      </c>
      <c r="E14" s="21">
        <f t="shared" si="0"/>
        <v>103.43463736750532</v>
      </c>
      <c r="F14" s="21"/>
      <c r="G14" s="21">
        <f t="shared" si="0"/>
        <v>29696.01785591722</v>
      </c>
      <c r="H14" s="21">
        <f t="shared" si="0"/>
        <v>9007.2627259827477</v>
      </c>
      <c r="I14" s="21"/>
      <c r="J14" s="21"/>
      <c r="K14" s="21"/>
      <c r="L14" s="21"/>
      <c r="M14" s="21">
        <f t="shared" si="0"/>
        <v>2002.3154271090466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0.19753848020382303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3.160149087450383</v>
      </c>
      <c r="C18" s="23"/>
      <c r="D18" s="23">
        <f t="shared" ref="D18:M18" si="1">D14*D16</f>
        <v>16.431950729351929</v>
      </c>
      <c r="E18" s="23">
        <f t="shared" si="1"/>
        <v>23.479662682423708</v>
      </c>
      <c r="F18" s="23"/>
      <c r="G18" s="23">
        <f t="shared" si="1"/>
        <v>7928.8367675298978</v>
      </c>
      <c r="H18" s="23">
        <f t="shared" si="1"/>
        <v>2242.8084187697041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2.8604793908669456E-3</v>
      </c>
      <c r="H50" s="321">
        <f t="shared" si="2"/>
        <v>0</v>
      </c>
      <c r="I50" s="321">
        <f t="shared" si="2"/>
        <v>0</v>
      </c>
      <c r="J50" s="321">
        <f t="shared" si="2"/>
        <v>0</v>
      </c>
      <c r="K50" s="321">
        <f t="shared" si="2"/>
        <v>0</v>
      </c>
      <c r="L50" s="321">
        <f t="shared" si="2"/>
        <v>0</v>
      </c>
      <c r="M50" s="321">
        <f t="shared" si="2"/>
        <v>1.6246260159647502E-4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2.8604793908669456E-3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1.6246260159647502E-4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794.57760857415155</v>
      </c>
      <c r="H54" s="21">
        <f t="shared" si="3"/>
        <v>0</v>
      </c>
      <c r="I54" s="21">
        <f t="shared" si="3"/>
        <v>0</v>
      </c>
      <c r="J54" s="21">
        <f t="shared" si="3"/>
        <v>0</v>
      </c>
      <c r="K54" s="21">
        <f t="shared" si="3"/>
        <v>0</v>
      </c>
      <c r="L54" s="21">
        <f t="shared" si="3"/>
        <v>0</v>
      </c>
      <c r="M54" s="21">
        <f t="shared" si="3"/>
        <v>45.128500443465285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0.19753848020382303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212.15222148929848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4335.7189265636234</v>
      </c>
      <c r="C6" s="1204"/>
      <c r="D6" s="1189"/>
      <c r="E6" s="1189"/>
      <c r="F6" s="1207"/>
      <c r="G6" s="1210"/>
      <c r="H6" s="1201"/>
      <c r="I6" s="1189"/>
      <c r="J6" s="1189"/>
      <c r="K6" s="1189"/>
      <c r="L6" s="1193"/>
      <c r="M6" s="575"/>
      <c r="N6" s="1167"/>
      <c r="O6" s="1168"/>
      <c r="Q6" s="573"/>
      <c r="R6" s="1155"/>
      <c r="S6" s="1155"/>
    </row>
    <row r="7" spans="1:19" s="563" customFormat="1">
      <c r="A7" s="576" t="s">
        <v>252</v>
      </c>
      <c r="B7" s="577">
        <f>N57</f>
        <v>112.5</v>
      </c>
      <c r="C7" s="578">
        <f>B100</f>
        <v>0</v>
      </c>
      <c r="D7" s="579"/>
      <c r="E7" s="579">
        <f>E100</f>
        <v>0</v>
      </c>
      <c r="F7" s="580"/>
      <c r="G7" s="581"/>
      <c r="H7" s="579">
        <f>I100</f>
        <v>0</v>
      </c>
      <c r="I7" s="579">
        <f>G100+F100</f>
        <v>132.35294117647058</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4448.2189265636234</v>
      </c>
      <c r="C9" s="594">
        <f t="shared" ref="C9:L9" si="0">SUM(C7:C8)</f>
        <v>0</v>
      </c>
      <c r="D9" s="594">
        <f t="shared" si="0"/>
        <v>0</v>
      </c>
      <c r="E9" s="594">
        <f t="shared" si="0"/>
        <v>0</v>
      </c>
      <c r="F9" s="594">
        <f t="shared" si="0"/>
        <v>0</v>
      </c>
      <c r="G9" s="594">
        <f t="shared" si="0"/>
        <v>0</v>
      </c>
      <c r="H9" s="594">
        <f t="shared" si="0"/>
        <v>0</v>
      </c>
      <c r="I9" s="594">
        <f t="shared" si="0"/>
        <v>132.35294117647058</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126.5625</v>
      </c>
      <c r="C16" s="610">
        <f>B101</f>
        <v>0</v>
      </c>
      <c r="D16" s="611"/>
      <c r="E16" s="611">
        <f>E101</f>
        <v>0</v>
      </c>
      <c r="F16" s="612"/>
      <c r="G16" s="613"/>
      <c r="H16" s="610">
        <f>I101</f>
        <v>0</v>
      </c>
      <c r="I16" s="611">
        <f>G101+F101</f>
        <v>148.89705882352942</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126.5625</v>
      </c>
      <c r="C19" s="593">
        <f>SUM(C16:C18)</f>
        <v>0</v>
      </c>
      <c r="D19" s="593">
        <f t="shared" ref="D19:M19" si="1">SUM(D16:D18)</f>
        <v>0</v>
      </c>
      <c r="E19" s="593">
        <f t="shared" si="1"/>
        <v>0</v>
      </c>
      <c r="F19" s="593">
        <f t="shared" si="1"/>
        <v>0</v>
      </c>
      <c r="G19" s="593">
        <f t="shared" si="1"/>
        <v>0</v>
      </c>
      <c r="H19" s="593">
        <f t="shared" si="1"/>
        <v>0</v>
      </c>
      <c r="I19" s="593">
        <f t="shared" si="1"/>
        <v>148.89705882352942</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24109</v>
      </c>
      <c r="C27" s="851">
        <v>3128</v>
      </c>
      <c r="D27" s="672" t="s">
        <v>809</v>
      </c>
      <c r="E27" s="671" t="s">
        <v>810</v>
      </c>
      <c r="F27" s="671" t="s">
        <v>811</v>
      </c>
      <c r="G27" s="671" t="s">
        <v>812</v>
      </c>
      <c r="H27" s="671" t="s">
        <v>813</v>
      </c>
      <c r="I27" s="671" t="s">
        <v>814</v>
      </c>
      <c r="J27" s="850">
        <v>40026</v>
      </c>
      <c r="K27" s="850">
        <v>40118</v>
      </c>
      <c r="L27" s="671" t="s">
        <v>815</v>
      </c>
      <c r="M27" s="671">
        <v>25</v>
      </c>
      <c r="N27" s="671">
        <v>112.5</v>
      </c>
      <c r="O27" s="671">
        <v>126.5625</v>
      </c>
      <c r="P27" s="671">
        <v>0</v>
      </c>
      <c r="Q27" s="671">
        <v>0</v>
      </c>
      <c r="R27" s="671">
        <v>0</v>
      </c>
      <c r="S27" s="671">
        <v>0</v>
      </c>
      <c r="T27" s="671">
        <v>0</v>
      </c>
      <c r="U27" s="671">
        <v>281.25</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v>
      </c>
      <c r="N57" s="629">
        <f>SUM(N27:N56)</f>
        <v>112.5</v>
      </c>
      <c r="O57" s="629">
        <f t="shared" ref="O57:W57" si="2">SUM(O27:O56)</f>
        <v>126.5625</v>
      </c>
      <c r="P57" s="629">
        <f t="shared" si="2"/>
        <v>0</v>
      </c>
      <c r="Q57" s="629">
        <f t="shared" si="2"/>
        <v>0</v>
      </c>
      <c r="R57" s="629">
        <f t="shared" si="2"/>
        <v>0</v>
      </c>
      <c r="S57" s="629">
        <f t="shared" si="2"/>
        <v>0</v>
      </c>
      <c r="T57" s="629">
        <f t="shared" si="2"/>
        <v>0</v>
      </c>
      <c r="U57" s="629">
        <f t="shared" si="2"/>
        <v>281.25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25</v>
      </c>
      <c r="N59" s="629">
        <f ca="1">SUMIF($Z$27:AB56,"tertiair",N27:N56)</f>
        <v>112.5</v>
      </c>
      <c r="O59" s="629">
        <f ca="1">SUMIF($Z$27:AC56,"tertiair",O27:O56)</f>
        <v>126.5625</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281.25</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0.47058823529411764</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132.35294117647058</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148.89705882352942</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2018-09-06T12:47:19Z</dcterms:modified>
</cp:coreProperties>
</file>