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G14" i="22" l="1"/>
  <c r="G9" i="48" s="1"/>
  <c r="I14"/>
  <c r="N7"/>
  <c r="N24" s="1"/>
  <c r="E7"/>
  <c r="E24" s="1"/>
  <c r="P3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<sst xmlns="http://schemas.openxmlformats.org/spreadsheetml/2006/main" count="1914" uniqueCount="809">
  <si>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</si>
  <si>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</si>
  <si>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</si>
  <si>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</si>
  <si>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</si>
  <si>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</si>
  <si>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</si>
  <si>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</si>
  <si>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</si>
  <si>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</si>
  <si>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</si>
  <si>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</si>
  <si>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</si>
  <si>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</si>
  <si>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</si>
  <si>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</si>
  <si>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</si>
  <si>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</si>
  <si>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</si>
  <si>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</si>
  <si>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</si>
  <si>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</si>
  <si>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</si>
  <si>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</si>
  <si>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</si>
  <si>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</si>
  <si>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</si>
  <si>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</si>
  <si>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</si>
  <si>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</si>
  <si>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</si>
  <si>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</si>
  <si>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</si>
  <si>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</si>
  <si>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</si>
  <si>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</si>
  <si>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</si>
  <si>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</si>
  <si>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</si>
  <si>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</si>
  <si>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</si>
  <si>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</si>
  <si>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</si>
  <si>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</si>
  <si>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</si>
  <si>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</si>
  <si>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</si>
  <si>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</si>
  <si>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</si>
  <si>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</si>
  <si>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</si>
  <si>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</si>
  <si>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</si>
  <si>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</si>
  <si>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</si>
  <si>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</si>
  <si>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</si>
  <si>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</si>
  <si>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</si>
  <si>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</si>
  <si>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</si>
  <si>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</si>
  <si>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</si>
  <si>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</si>
  <si>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</si>
  <si>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</si>
  <si>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</si>
  <si>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</si>
  <si>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</si>
  <si>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</si>
  <si>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</si>
  <si>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</si>
  <si>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</si>
  <si>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</si>
  <si>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</si>
  <si>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</si>
  <si>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</si>
  <si>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</si>
  <si>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</si>
  <si>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</si>
  <si>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</si>
  <si>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</si>
  <si>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</si>
  <si>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</si>
  <si>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</si>
  <si>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</si>
  <si>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</si>
  <si>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</si>
  <si>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</si>
  <si>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</si>
  <si>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</si>
  <si>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</si>
  <si>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</si>
  <si>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</si>
  <si>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</si>
  <si>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</si>
  <si>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</si>
  <si>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</si>
  <si>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</si>
  <si>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</si>
  <si>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</si>
  <si>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</si>
  <si>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</si>
  <si>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</si>
  <si>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</si>
  <si>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</si>
  <si>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</si>
  <si>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</si>
  <si>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</si>
  <si>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</si>
  <si>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</si>
  <si>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</si>
  <si>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</si>
  <si>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</si>
  <si>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</si>
  <si>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</si>
  <si>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</si>
  <si>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</si>
  <si>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</si>
  <si>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</si>
  <si>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</si>
  <si>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</si>
  <si>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</si>
  <si>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</si>
  <si>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</si>
  <si>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</si>
  <si>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</si>
  <si>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</si>
  <si>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</si>
  <si>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</si>
  <si>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</si>
  <si>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</si>
  <si>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</si>
  <si>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</si>
  <si>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</si>
  <si>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</si>
  <si>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</si>
  <si>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</si>
  <si>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</si>
  <si>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</si>
  <si>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</si>
  <si>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</si>
  <si>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</si>
  <si>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</si>
  <si>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</si>
  <si>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</si>
  <si>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</si>
  <si>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</si>
  <si>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</si>
  <si>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</si>
  <si>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</si>
  <si>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</si>
  <si>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</si>
  <si>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</si>
  <si>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</si>
  <si>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</si>
  <si>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</si>
  <si>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</si>
  <si>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</si>
  <si>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</si>
  <si>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</si>
  <si>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</si>
  <si>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</si>
  <si>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</si>
  <si>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</si>
  <si>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</si>
  <si>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</si>
  <si>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</si>
  <si>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</si>
  <si>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</si>
  <si>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</si>
  <si>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</si>
  <si>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</si>
  <si>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</si>
  <si>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</si>
  <si>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</si>
  <si>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</si>
  <si>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</si>
  <si>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</si>
  <si>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</si>
  <si>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</si>
  <si>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</si>
  <si>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</si>
  <si>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</si>
  <si>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</si>
  <si>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</si>
  <si>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</si>
  <si>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</si>
  <si>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</si>
  <si>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</si>
  <si>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</si>
  <si>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</si>
  <si>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</si>
  <si>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</si>
  <si>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</si>
  <si>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</si>
  <si>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</si>
  <si>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</si>
  <si>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</si>
  <si>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</si>
  <si>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</si>
  <si>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</si>
  <si>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</si>
  <si>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</si>
  <si>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</si>
  <si>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</si>
  <si>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</si>
  <si>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</si>
  <si>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</si>
  <si>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</si>
  <si>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</si>
  <si>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</si>
  <si>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</si>
  <si>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</si>
  <si>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</si>
  <si>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</si>
  <si>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</si>
  <si>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</si>
  <si>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</si>
  <si>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</si>
  <si>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</si>
  <si>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</si>
  <si>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</si>
  <si>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</si>
  <si>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</si>
  <si>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</si>
  <si>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</si>
  <si>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</si>
  <si>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</si>
  <si>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</si>
  <si>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</si>
  <si>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</si>
  <si>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</si>
  <si>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</si>
  <si>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</si>
  <si>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</si>
  <si>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</si>
  <si>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</si>
  <si>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</si>
  <si>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</si>
  <si>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</si>
  <si>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</si>
  <si>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</si>
  <si>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</si>
  <si>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</si>
  <si>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</si>
  <si>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</si>
  <si>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</si>
  <si>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</si>
  <si>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</si>
  <si>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</si>
  <si>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</si>
  <si>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</si>
  <si>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</si>
  <si>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</si>
  <si>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</si>
  <si>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</si>
  <si>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</si>
  <si>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</si>
  <si>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</si>
  <si>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</si>
  <si>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</si>
  <si>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</si>
  <si>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</si>
  <si>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</si>
  <si>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</si>
  <si>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</si>
  <si>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</si>
  <si>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</si>
  <si>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</si>
  <si>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</si>
  <si>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</si>
  <si>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</si>
  <si>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</si>
  <si>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</si>
  <si>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</si>
  <si>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</si>
  <si>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</si>
  <si>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</si>
  <si>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</si>
  <si>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</si>
  <si>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</si>
  <si>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</si>
  <si>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</si>
  <si>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</si>
  <si>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</si>
  <si>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</si>
  <si>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</si>
  <si>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</si>
  <si>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</si>
  <si>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</si>
  <si>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</si>
  <si>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</si>
  <si>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</si>
  <si>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</si>
  <si>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</si>
  <si>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</si>
  <si>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</si>
  <si>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</si>
  <si>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</si>
  <si>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</si>
  <si>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</si>
  <si>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</si>
  <si>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</si>
  <si>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</si>
  <si>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</si>
  <si>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</si>
  <si>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</si>
  <si>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</si>
  <si>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</si>
  <si>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</si>
  <si>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</si>
  <si>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</si>
  <si>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</si>
  <si>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</si>
  <si>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</si>
  <si>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</si>
  <si>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</si>
  <si>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</si>
  <si>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</si>
  <si>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</si>
  <si>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</si>
  <si>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</si>
  <si>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</si>
  <si>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</si>
  <si>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</si>
  <si>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</si>
  <si>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</si>
  <si>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</si>
  <si>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</si>
  <si>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</si>
  <si>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</si>
  <si>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</si>
  <si>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</si>
  <si>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</si>
  <si>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</si>
  <si>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</si>
  <si>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</si>
  <si>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</si>
  <si>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</si>
  <si>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</si>
  <si>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</si>
  <si>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</si>
  <si>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</si>
  <si>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</si>
  <si>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</si>
  <si>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</si>
  <si>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</si>
  <si>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</si>
  <si>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</si>
  <si>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</si>
  <si>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</si>
  <si>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</si>
  <si>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</si>
  <si>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</si>
  <si>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</si>
  <si>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</si>
  <si>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</si>
  <si>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</si>
  <si>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</si>
  <si>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</si>
  <si>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</si>
  <si>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</si>
  <si>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</si>
  <si>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</si>
  <si>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</si>
  <si>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</si>
  <si>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</si>
  <si>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</si>
  <si>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</si>
  <si>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</si>
  <si>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</si>
  <si>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</si>
  <si>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</si>
  <si>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</si>
  <si>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</si>
  <si>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</si>
  <si>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</si>
  <si>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</si>
  <si>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</si>
  <si>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</si>
  <si>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</si>
  <si>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</si>
  <si>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</si>
  <si>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</si>
  <si>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</si>
  <si>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</si>
  <si>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</si>
  <si>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</si>
  <si>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</si>
  <si>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</si>
  <si>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</si>
  <si>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</si>
  <si>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</si>
  <si>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</si>
  <si>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</si>
  <si>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</si>
  <si>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</si>
  <si>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</si>
  <si>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</si>
  <si>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</si>
  <si>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</si>
  <si>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</si>
  <si>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</si>
  <si>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</si>
  <si>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</si>
  <si>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</si>
  <si>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</si>
  <si>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</si>
  <si>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</si>
  <si>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</si>
  <si>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</si>
  <si>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</si>
  <si>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</si>
  <si>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</si>
  <si>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</si>
  <si>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</si>
  <si>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</si>
  <si>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</si>
  <si>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</si>
  <si>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</si>
  <si>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</si>
  <si>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</si>
  <si>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</si>
  <si>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</si>
  <si>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</si>
  <si>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</si>
  <si>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</si>
  <si>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</si>
  <si>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</si>
  <si>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</si>
  <si>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</si>
  <si>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</si>
  <si>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</si>
  <si>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</si>
  <si>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</si>
  <si>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</si>
  <si>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</si>
  <si>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</si>
  <si>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</si>
  <si>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</si>
  <si>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</si>
  <si>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</si>
  <si>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</si>
  <si>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</si>
  <si>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</si>
  <si>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</si>
  <si>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</si>
  <si>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</si>
  <si>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</si>
  <si>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</si>
  <si>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</si>
  <si>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</si>
  <si>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</si>
  <si>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</si>
  <si>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</si>
  <si>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</si>
  <si>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</si>
  <si>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</si>
  <si>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</si>
  <si>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</si>
  <si>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</si>
  <si>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</si>
  <si>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</si>
  <si>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</si>
  <si>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</si>
  <si>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</si>
  <si>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</si>
  <si>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</si>
  <si>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</si>
  <si>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</si>
  <si>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</si>
  <si>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</si>
  <si>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</si>
  <si>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</si>
  <si>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</si>
  <si>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</si>
  <si>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</si>
  <si>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</si>
  <si>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</si>
  <si>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</si>
  <si>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</si>
  <si>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</si>
  <si>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</si>
  <si>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</si>
  <si>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</si>
  <si>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</si>
  <si>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</si>
  <si>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</si>
  <si>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</si>
  <si>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</si>
  <si>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</si>
  <si>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</si>
  <si>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</si>
  <si>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</si>
  <si>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</si>
  <si>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</si>
  <si>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</si>
  <si>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</si>
  <si>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</si>
  <si>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</si>
  <si>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</si>
  <si>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</si>
  <si>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</si>
  <si>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</si>
  <si>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</si>
  <si>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</si>
  <si>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</si>
  <si>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</si>
  <si>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</si>
  <si>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</si>
  <si>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</si>
  <si>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</si>
  <si>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</si>
  <si>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</si>
  <si>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</si>
  <si>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</si>
  <si>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</si>
  <si>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</si>
  <si>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</si>
  <si>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</si>
  <si>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</si>
  <si>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</si>
  <si>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</si>
  <si>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</si>
  <si>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</si>
  <si>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</si>
  <si>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</si>
  <si>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</si>
  <si>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</si>
  <si>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</si>
  <si>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</si>
  <si>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</si>
  <si>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</si>
  <si>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</si>
  <si>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</si>
  <si>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</si>
  <si>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</si>
  <si>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</si>
  <si>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</si>
  <si>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</si>
  <si>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</si>
  <si>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</si>
  <si>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</si>
  <si>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</si>
  <si>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</si>
  <si>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</si>
  <si>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</si>
  <si>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</si>
  <si>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</si>
  <si>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</si>
  <si>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</si>
  <si>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</si>
  <si>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</si>
  <si>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</si>
  <si>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</si>
  <si>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</si>
  <si>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</si>
  <si>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</si>
  <si>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</si>
  <si>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</si>
  <si>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</si>
  <si>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</si>
  <si>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</si>
  <si>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</si>
  <si>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</si>
  <si>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</si>
  <si>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</si>
  <si>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</si>
  <si>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</si>
  <si>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</si>
  <si>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</si>
  <si>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</si>
  <si>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</si>
  <si>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</si>
  <si>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</si>
  <si>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</si>
  <si>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</si>
  <si>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</si>
  <si>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</si>
  <si>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</si>
  <si>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</si>
  <si>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</si>
  <si>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</si>
  <si>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</si>
  <si>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</si>
  <si>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</si>
  <si>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</si>
  <si>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</si>
  <si>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</si>
  <si>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</si>
  <si>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</si>
  <si>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</si>
  <si>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</si>
  <si>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</si>
  <si>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</si>
  <si>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</si>
  <si>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</si>
  <si>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</si>
  <si>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</si>
  <si>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</si>
  <si>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</si>
  <si>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</si>
  <si>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</si>
  <si>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</si>
  <si>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</si>
  <si>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</si>
  <si>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</si>
  <si>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</si>
  <si>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</si>
  <si>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</si>
  <si>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</si>
  <si>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</si>
  <si>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</si>
  <si>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</si>
  <si>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</si>
  <si>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</si>
  <si>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</si>
  <si>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</si>
  <si>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</si>
  <si>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</si>
  <si>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</si>
  <si>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</si>
  <si>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</si>
  <si>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</si>
  <si>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</si>
  <si>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</si>
  <si>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</si>
  <si>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</si>
  <si>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</si>
  <si>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</si>
  <si>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</si>
  <si>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</si>
  <si>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</si>
  <si>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</si>
  <si>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</si>
  <si>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</si>
  <si>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</si>
  <si>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</si>
  <si>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</si>
  <si>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</si>
  <si>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</si>
  <si>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</si>
  <si>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</si>
  <si>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</si>
  <si>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</si>
  <si>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</si>
  <si>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</si>
  <si>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</si>
  <si>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</si>
  <si>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</si>
  <si>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</si>
  <si>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</si>
  <si>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</si>
  <si>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</si>
  <si>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</si>
  <si>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</si>
  <si>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</si>
  <si>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</si>
  <si>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</si>
  <si>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</si>
  <si>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</si>
  <si>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</si>
  <si>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</si>
  <si>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</si>
  <si>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</si>
  <si>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</si>
  <si>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</si>
  <si>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</si>
  <si>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</si>
  <si>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</si>
  <si>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</si>
  <si>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</si>
  <si>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</si>
  <si>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</si>
  <si>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</si>
  <si>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</si>
  <si>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</si>
  <si>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</si>
  <si>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</si>
  <si>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</si>
  <si>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</si>
  <si>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</si>
  <si>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</si>
  <si>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</si>
  <si>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</si>
  <si>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</si>
  <si>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</si>
  <si>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</si>
  <si>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</si>
  <si>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</si>
  <si>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</si>
  <si>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</si>
  <si>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</si>
  <si>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</si>
  <si>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</si>
  <si>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</si>
  <si>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</si>
  <si>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</si>
  <si>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</si>
  <si>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</si>
  <si>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</si>
  <si>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</si>
  <si>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</si>
  <si>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</si>
  <si>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</si>
  <si>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</si>
  <si>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</si>
  <si>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</si>
  <si>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</si>
  <si>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</si>
  <si>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</si>
  <si>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</si>
  <si>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</si>
  <si>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</si>
  <si>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</si>
  <si>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</si>
  <si>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</si>
  <si>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</si>
  <si>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</si>
  <si>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</si>
  <si>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</si>
  <si>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</si>
  <si>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</si>
  <si>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</si>
  <si>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</si>
  <si>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</si>
  <si>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</si>
  <si>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</si>
  <si>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</si>
  <si>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</si>
  <si>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</si>
  <si>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</si>
  <si>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</si>
  <si>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</si>
  <si>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</si>
  <si>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</si>
  <si>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</si>
  <si>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</si>
  <si>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</si>
  <si>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</si>
  <si>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</si>
  <si>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</si>
  <si>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</si>
  <si>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</si>
  <si>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</si>
  <si>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</si>
  <si>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</si>
  <si>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</si>
  <si>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</si>
  <si>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</si>
  <si>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</si>
  <si>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</si>
  <si>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</si>
  <si>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</si>
  <si>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</si>
  <si>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</si>
  <si>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</si>
  <si>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</si>
  <si>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</si>
  <si>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</si>
  <si>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</si>
  <si>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</si>
  <si>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</si>
  <si>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</si>
  <si>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</si>
  <si>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</si>
  <si>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</si>
  <si>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</si>
  <si>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</si>
  <si>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</si>
  <si>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</si>
  <si>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</si>
  <si>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</si>
  <si>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</si>
  <si>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</si>
  <si>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</si>
  <si>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</si>
  <si>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</si>
  <si>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</si>
  <si>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</si>
  <si>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</si>
  <si>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</si>
  <si>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</si>
  <si>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</si>
  <si>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</si>
  <si>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</si>
  <si>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</si>
  <si>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</si>
  <si>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</si>
  <si>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</si>
  <si>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</si>
  <si>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</si>
  <si>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</si>
  <si>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</si>
  <si>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</si>
  <si>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</si>
  <si>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</si>
  <si>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</si>
  <si>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</si>
  <si>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</si>
  <si>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24107</t>
  </si>
  <si>
    <t>TIENEN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</si>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</sst>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281696.52480824967</c:v>
                </c:pt>
                <c:pt idx="1">
                  <c:v>168182.55353348411</c:v>
                </c:pt>
                <c:pt idx="2">
                  <c:v>2384.8580000000002</c:v>
                </c:pt>
                <c:pt idx="3">
                  <c:v>20406.314920400248</c:v>
                </c:pt>
                <c:pt idx="4">
                  <c:v>182978.85199484584</c:v>
                </c:pt>
                <c:pt idx="5">
                  <c:v>223995.88712937702</c:v>
                </c:pt>
                <c:pt idx="6">
                  <c:v>3494.9496833178423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281696.52480824967</c:v>
                </c:pt>
                <c:pt idx="1">
                  <c:v>168182.55353348411</c:v>
                </c:pt>
                <c:pt idx="2">
                  <c:v>2384.8580000000002</c:v>
                </c:pt>
                <c:pt idx="3">
                  <c:v>20406.314920400248</c:v>
                </c:pt>
                <c:pt idx="4">
                  <c:v>182978.85199484584</c:v>
                </c:pt>
                <c:pt idx="5">
                  <c:v>223995.88712937702</c:v>
                </c:pt>
                <c:pt idx="6">
                  <c:v>3494.9496833178423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58467.80442473432</c:v>
                </c:pt>
                <c:pt idx="1">
                  <c:v>34370.398427117732</c:v>
                </c:pt>
                <c:pt idx="2">
                  <c:v>502.5269885449722</c:v>
                </c:pt>
                <c:pt idx="3">
                  <c:v>4899.3569752876965</c:v>
                </c:pt>
                <c:pt idx="4">
                  <c:v>35284.592446399271</c:v>
                </c:pt>
                <c:pt idx="5">
                  <c:v>56080.195744929879</c:v>
                </c:pt>
                <c:pt idx="6">
                  <c:v>883.00100636000582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58467.80442473432</c:v>
                </c:pt>
                <c:pt idx="1">
                  <c:v>34370.398427117732</c:v>
                </c:pt>
                <c:pt idx="2">
                  <c:v>502.5269885449722</c:v>
                </c:pt>
                <c:pt idx="3">
                  <c:v>4899.3569752876965</c:v>
                </c:pt>
                <c:pt idx="4">
                  <c:v>35284.592446399271</c:v>
                </c:pt>
                <c:pt idx="5">
                  <c:v>56080.195744929879</c:v>
                </c:pt>
                <c:pt idx="6">
                  <c:v>883.00100636000582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24107</v>
      </c>
      <c r="B6" s="415"/>
      <c r="C6" s="416"/>
    </row>
    <row r="7" spans="1:7" s="413" customFormat="1" ht="15.75" customHeight="1">
      <c r="A7" s="417" t="str">
        <f>txtMunicipality</f>
        <v>TIENEN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14973</v>
      </c>
      <c r="C9" s="342">
        <v>15731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4715.37</v>
      </c>
    </row>
    <row r="15" spans="1:6">
      <c r="A15" s="348" t="s">
        <v>184</v>
      </c>
      <c r="B15" s="334">
        <v>25</v>
      </c>
    </row>
    <row r="16" spans="1:6">
      <c r="A16" s="348" t="s">
        <v>6</v>
      </c>
      <c r="B16" s="334">
        <v>1104</v>
      </c>
    </row>
    <row r="17" spans="1:6">
      <c r="A17" s="348" t="s">
        <v>7</v>
      </c>
      <c r="B17" s="334">
        <v>874</v>
      </c>
    </row>
    <row r="18" spans="1:6">
      <c r="A18" s="348" t="s">
        <v>8</v>
      </c>
      <c r="B18" s="334">
        <v>1406</v>
      </c>
    </row>
    <row r="19" spans="1:6">
      <c r="A19" s="348" t="s">
        <v>9</v>
      </c>
      <c r="B19" s="334">
        <v>944</v>
      </c>
    </row>
    <row r="20" spans="1:6">
      <c r="A20" s="348" t="s">
        <v>10</v>
      </c>
      <c r="B20" s="334">
        <v>700</v>
      </c>
    </row>
    <row r="21" spans="1:6">
      <c r="A21" s="348" t="s">
        <v>11</v>
      </c>
      <c r="B21" s="334">
        <v>1281</v>
      </c>
    </row>
    <row r="22" spans="1:6">
      <c r="A22" s="348" t="s">
        <v>12</v>
      </c>
      <c r="B22" s="334">
        <v>7981</v>
      </c>
    </row>
    <row r="23" spans="1:6">
      <c r="A23" s="348" t="s">
        <v>13</v>
      </c>
      <c r="B23" s="334">
        <v>35</v>
      </c>
    </row>
    <row r="24" spans="1:6">
      <c r="A24" s="348" t="s">
        <v>14</v>
      </c>
      <c r="B24" s="334">
        <v>12</v>
      </c>
    </row>
    <row r="25" spans="1:6">
      <c r="A25" s="348" t="s">
        <v>15</v>
      </c>
      <c r="B25" s="334">
        <v>223</v>
      </c>
    </row>
    <row r="26" spans="1:6">
      <c r="A26" s="348" t="s">
        <v>16</v>
      </c>
      <c r="B26" s="334">
        <v>210</v>
      </c>
    </row>
    <row r="27" spans="1:6">
      <c r="A27" s="348" t="s">
        <v>17</v>
      </c>
      <c r="B27" s="334">
        <v>4</v>
      </c>
    </row>
    <row r="28" spans="1:6" s="356" customFormat="1">
      <c r="A28" s="355" t="s">
        <v>18</v>
      </c>
      <c r="B28" s="355">
        <v>23579</v>
      </c>
    </row>
    <row r="29" spans="1:6">
      <c r="A29" s="355" t="s">
        <v>744</v>
      </c>
      <c r="B29" s="355">
        <v>189</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8861</v>
      </c>
    </row>
    <row r="36" spans="1:6">
      <c r="A36" s="348" t="s">
        <v>25</v>
      </c>
      <c r="B36" s="348" t="s">
        <v>27</v>
      </c>
      <c r="C36" s="334">
        <v>0</v>
      </c>
      <c r="D36" s="334">
        <v>0</v>
      </c>
      <c r="E36" s="334">
        <v>19</v>
      </c>
      <c r="F36" s="334">
        <v>43777.398141482197</v>
      </c>
    </row>
    <row r="37" spans="1:6">
      <c r="A37" s="348" t="s">
        <v>25</v>
      </c>
      <c r="B37" s="348" t="s">
        <v>28</v>
      </c>
      <c r="C37" s="334">
        <v>0</v>
      </c>
      <c r="D37" s="334">
        <v>0</v>
      </c>
      <c r="E37" s="334">
        <v>0</v>
      </c>
      <c r="F37" s="334">
        <v>0</v>
      </c>
    </row>
    <row r="38" spans="1:6">
      <c r="A38" s="348" t="s">
        <v>25</v>
      </c>
      <c r="B38" s="348" t="s">
        <v>29</v>
      </c>
      <c r="C38" s="334">
        <v>1</v>
      </c>
      <c r="D38" s="334">
        <v>188544.66191274201</v>
      </c>
      <c r="E38" s="334">
        <v>0</v>
      </c>
      <c r="F38" s="334">
        <v>0</v>
      </c>
    </row>
    <row r="39" spans="1:6">
      <c r="A39" s="348" t="s">
        <v>30</v>
      </c>
      <c r="B39" s="348" t="s">
        <v>31</v>
      </c>
      <c r="C39" s="334">
        <v>10965</v>
      </c>
      <c r="D39" s="334">
        <v>179936586.283315</v>
      </c>
      <c r="E39" s="334">
        <v>15002</v>
      </c>
      <c r="F39" s="334">
        <v>47559510.0944717</v>
      </c>
    </row>
    <row r="40" spans="1:6">
      <c r="A40" s="348" t="s">
        <v>30</v>
      </c>
      <c r="B40" s="348" t="s">
        <v>29</v>
      </c>
      <c r="C40" s="334">
        <v>0</v>
      </c>
      <c r="D40" s="334">
        <v>0</v>
      </c>
      <c r="E40" s="334">
        <v>1</v>
      </c>
      <c r="F40" s="334">
        <v>9046.8228575795001</v>
      </c>
    </row>
    <row r="41" spans="1:6">
      <c r="A41" s="348" t="s">
        <v>32</v>
      </c>
      <c r="B41" s="348" t="s">
        <v>33</v>
      </c>
      <c r="C41" s="334">
        <v>236</v>
      </c>
      <c r="D41" s="334">
        <v>2950666.79593988</v>
      </c>
      <c r="E41" s="334">
        <v>349</v>
      </c>
      <c r="F41" s="334">
        <v>11960331.1293329</v>
      </c>
    </row>
    <row r="42" spans="1:6">
      <c r="A42" s="348" t="s">
        <v>32</v>
      </c>
      <c r="B42" s="348" t="s">
        <v>34</v>
      </c>
      <c r="C42" s="334">
        <v>3</v>
      </c>
      <c r="D42" s="334">
        <v>85471.510777621996</v>
      </c>
      <c r="E42" s="334">
        <v>0</v>
      </c>
      <c r="F42" s="334">
        <v>0</v>
      </c>
    </row>
    <row r="43" spans="1:6">
      <c r="A43" s="348" t="s">
        <v>32</v>
      </c>
      <c r="B43" s="348" t="s">
        <v>35</v>
      </c>
      <c r="C43" s="334">
        <v>0</v>
      </c>
      <c r="D43" s="334">
        <v>0</v>
      </c>
      <c r="E43" s="334">
        <v>0</v>
      </c>
      <c r="F43" s="334">
        <v>0</v>
      </c>
    </row>
    <row r="44" spans="1:6">
      <c r="A44" s="348" t="s">
        <v>32</v>
      </c>
      <c r="B44" s="348" t="s">
        <v>36</v>
      </c>
      <c r="C44" s="334">
        <v>16</v>
      </c>
      <c r="D44" s="334">
        <v>363397.24337032199</v>
      </c>
      <c r="E44" s="334">
        <v>32</v>
      </c>
      <c r="F44" s="334">
        <v>558805.67064812896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76367.088778185396</v>
      </c>
      <c r="E47" s="334">
        <v>4</v>
      </c>
      <c r="F47" s="334">
        <v>18549.2478536454</v>
      </c>
    </row>
    <row r="48" spans="1:6">
      <c r="A48" s="348" t="s">
        <v>32</v>
      </c>
      <c r="B48" s="348" t="s">
        <v>29</v>
      </c>
      <c r="C48" s="334">
        <v>37</v>
      </c>
      <c r="D48" s="334">
        <v>25446689.800982401</v>
      </c>
      <c r="E48" s="334">
        <v>45</v>
      </c>
      <c r="F48" s="334">
        <v>77063470.0373559</v>
      </c>
    </row>
    <row r="49" spans="1:6">
      <c r="A49" s="348" t="s">
        <v>32</v>
      </c>
      <c r="B49" s="348" t="s">
        <v>40</v>
      </c>
      <c r="C49" s="334">
        <v>0</v>
      </c>
      <c r="D49" s="334">
        <v>0</v>
      </c>
      <c r="E49" s="334">
        <v>0</v>
      </c>
      <c r="F49" s="334">
        <v>0</v>
      </c>
    </row>
    <row r="50" spans="1:6">
      <c r="A50" s="348" t="s">
        <v>32</v>
      </c>
      <c r="B50" s="348" t="s">
        <v>41</v>
      </c>
      <c r="C50" s="334">
        <v>12</v>
      </c>
      <c r="D50" s="334">
        <v>436047.60909029603</v>
      </c>
      <c r="E50" s="334">
        <v>21</v>
      </c>
      <c r="F50" s="334">
        <v>11135582.170298301</v>
      </c>
    </row>
    <row r="51" spans="1:6">
      <c r="A51" s="348" t="s">
        <v>42</v>
      </c>
      <c r="B51" s="348" t="s">
        <v>43</v>
      </c>
      <c r="C51" s="334">
        <v>23</v>
      </c>
      <c r="D51" s="334">
        <v>582192.83654845902</v>
      </c>
      <c r="E51" s="334">
        <v>118</v>
      </c>
      <c r="F51" s="334">
        <v>2472242.33173418</v>
      </c>
    </row>
    <row r="52" spans="1:6">
      <c r="A52" s="348" t="s">
        <v>42</v>
      </c>
      <c r="B52" s="348" t="s">
        <v>29</v>
      </c>
      <c r="C52" s="334">
        <v>10</v>
      </c>
      <c r="D52" s="334">
        <v>214825.733646551</v>
      </c>
      <c r="E52" s="334">
        <v>9</v>
      </c>
      <c r="F52" s="334">
        <v>99335.541369834493</v>
      </c>
    </row>
    <row r="53" spans="1:6">
      <c r="A53" s="348" t="s">
        <v>44</v>
      </c>
      <c r="B53" s="348" t="s">
        <v>45</v>
      </c>
      <c r="C53" s="334">
        <v>343</v>
      </c>
      <c r="D53" s="334">
        <v>6601573.0617093397</v>
      </c>
      <c r="E53" s="334">
        <v>650</v>
      </c>
      <c r="F53" s="334">
        <v>2276092.9581919401</v>
      </c>
    </row>
    <row r="54" spans="1:6">
      <c r="A54" s="348" t="s">
        <v>46</v>
      </c>
      <c r="B54" s="348" t="s">
        <v>47</v>
      </c>
      <c r="C54" s="334">
        <v>0</v>
      </c>
      <c r="D54" s="334">
        <v>0</v>
      </c>
      <c r="E54" s="334">
        <v>1</v>
      </c>
      <c r="F54" s="334">
        <v>2384858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105</v>
      </c>
      <c r="D57" s="334">
        <v>3932448.9038224001</v>
      </c>
      <c r="E57" s="334">
        <v>162</v>
      </c>
      <c r="F57" s="334">
        <v>4157601.1027784599</v>
      </c>
    </row>
    <row r="58" spans="1:6">
      <c r="A58" s="348" t="s">
        <v>49</v>
      </c>
      <c r="B58" s="348" t="s">
        <v>51</v>
      </c>
      <c r="C58" s="334">
        <v>100</v>
      </c>
      <c r="D58" s="334">
        <v>17236531.172333799</v>
      </c>
      <c r="E58" s="334">
        <v>124</v>
      </c>
      <c r="F58" s="334">
        <v>8298061.0261747697</v>
      </c>
    </row>
    <row r="59" spans="1:6">
      <c r="A59" s="348" t="s">
        <v>49</v>
      </c>
      <c r="B59" s="348" t="s">
        <v>52</v>
      </c>
      <c r="C59" s="334">
        <v>313</v>
      </c>
      <c r="D59" s="334">
        <v>16927979.937557802</v>
      </c>
      <c r="E59" s="334">
        <v>490</v>
      </c>
      <c r="F59" s="334">
        <v>15385221.8732337</v>
      </c>
    </row>
    <row r="60" spans="1:6">
      <c r="A60" s="348" t="s">
        <v>49</v>
      </c>
      <c r="B60" s="348" t="s">
        <v>53</v>
      </c>
      <c r="C60" s="334">
        <v>160</v>
      </c>
      <c r="D60" s="334">
        <v>11888719.688591501</v>
      </c>
      <c r="E60" s="334">
        <v>188</v>
      </c>
      <c r="F60" s="334">
        <v>5168366.0675122002</v>
      </c>
    </row>
    <row r="61" spans="1:6">
      <c r="A61" s="348" t="s">
        <v>49</v>
      </c>
      <c r="B61" s="348" t="s">
        <v>54</v>
      </c>
      <c r="C61" s="334">
        <v>376</v>
      </c>
      <c r="D61" s="334">
        <v>39740315.182886697</v>
      </c>
      <c r="E61" s="334">
        <v>770</v>
      </c>
      <c r="F61" s="334">
        <v>25685408.844933301</v>
      </c>
    </row>
    <row r="62" spans="1:6">
      <c r="A62" s="348" t="s">
        <v>49</v>
      </c>
      <c r="B62" s="348" t="s">
        <v>55</v>
      </c>
      <c r="C62" s="334">
        <v>18</v>
      </c>
      <c r="D62" s="334">
        <v>3489849.4240439599</v>
      </c>
      <c r="E62" s="334">
        <v>15</v>
      </c>
      <c r="F62" s="334">
        <v>562129.99552843499</v>
      </c>
    </row>
    <row r="63" spans="1:6">
      <c r="A63" s="348" t="s">
        <v>49</v>
      </c>
      <c r="B63" s="348" t="s">
        <v>29</v>
      </c>
      <c r="C63" s="334">
        <v>117</v>
      </c>
      <c r="D63" s="334">
        <v>7479746.7179056201</v>
      </c>
      <c r="E63" s="334">
        <v>105</v>
      </c>
      <c r="F63" s="334">
        <v>2879454.5230948101</v>
      </c>
    </row>
    <row r="64" spans="1:6">
      <c r="A64" s="348" t="s">
        <v>56</v>
      </c>
      <c r="B64" s="348" t="s">
        <v>57</v>
      </c>
      <c r="C64" s="334">
        <v>0</v>
      </c>
      <c r="D64" s="334">
        <v>0</v>
      </c>
      <c r="E64" s="334">
        <v>0</v>
      </c>
      <c r="F64" s="334">
        <v>0</v>
      </c>
    </row>
    <row r="65" spans="1:6">
      <c r="A65" s="348" t="s">
        <v>56</v>
      </c>
      <c r="B65" s="348" t="s">
        <v>29</v>
      </c>
      <c r="C65" s="334">
        <v>2</v>
      </c>
      <c r="D65" s="334">
        <v>178801.529597174</v>
      </c>
      <c r="E65" s="334">
        <v>0</v>
      </c>
      <c r="F65" s="334">
        <v>0</v>
      </c>
    </row>
    <row r="66" spans="1:6">
      <c r="A66" s="348" t="s">
        <v>56</v>
      </c>
      <c r="B66" s="348" t="s">
        <v>58</v>
      </c>
      <c r="C66" s="334">
        <v>0</v>
      </c>
      <c r="D66" s="334">
        <v>0</v>
      </c>
      <c r="E66" s="334">
        <v>28</v>
      </c>
      <c r="F66" s="334">
        <v>813804.69360222004</v>
      </c>
    </row>
    <row r="67" spans="1:6">
      <c r="A67" s="355" t="s">
        <v>56</v>
      </c>
      <c r="B67" s="355" t="s">
        <v>59</v>
      </c>
      <c r="C67" s="334">
        <v>0</v>
      </c>
      <c r="D67" s="334">
        <v>0</v>
      </c>
      <c r="E67" s="334">
        <v>0</v>
      </c>
      <c r="F67" s="334">
        <v>0</v>
      </c>
    </row>
    <row r="68" spans="1:6">
      <c r="A68" s="341" t="s">
        <v>56</v>
      </c>
      <c r="B68" s="341" t="s">
        <v>60</v>
      </c>
      <c r="C68" s="334">
        <v>7</v>
      </c>
      <c r="D68" s="334">
        <v>132888.87531912301</v>
      </c>
      <c r="E68" s="334">
        <v>20</v>
      </c>
      <c r="F68" s="334">
        <v>1266154.72856265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134876688</v>
      </c>
      <c r="E73" s="476">
        <v>136484118.7702561</v>
      </c>
    </row>
    <row r="74" spans="1:6">
      <c r="A74" s="348" t="s">
        <v>64</v>
      </c>
      <c r="B74" s="348" t="s">
        <v>657</v>
      </c>
      <c r="C74" s="1213" t="s">
        <v>659</v>
      </c>
      <c r="D74" s="476">
        <v>15722685.617822058</v>
      </c>
      <c r="E74" s="476">
        <v>15905482.628741018</v>
      </c>
    </row>
    <row r="75" spans="1:6">
      <c r="A75" s="348" t="s">
        <v>65</v>
      </c>
      <c r="B75" s="348" t="s">
        <v>656</v>
      </c>
      <c r="C75" s="1213" t="s">
        <v>660</v>
      </c>
      <c r="D75" s="476">
        <v>46621256</v>
      </c>
      <c r="E75" s="476">
        <v>47088696.46340178</v>
      </c>
    </row>
    <row r="76" spans="1:6">
      <c r="A76" s="348" t="s">
        <v>65</v>
      </c>
      <c r="B76" s="348" t="s">
        <v>657</v>
      </c>
      <c r="C76" s="1213" t="s">
        <v>661</v>
      </c>
      <c r="D76" s="476">
        <v>1650936.617822058</v>
      </c>
      <c r="E76" s="476">
        <v>1642846.0513347099</v>
      </c>
    </row>
    <row r="77" spans="1:6">
      <c r="A77" s="348" t="s">
        <v>66</v>
      </c>
      <c r="B77" s="348" t="s">
        <v>656</v>
      </c>
      <c r="C77" s="1213" t="s">
        <v>662</v>
      </c>
      <c r="D77" s="476">
        <v>52791495</v>
      </c>
      <c r="E77" s="476">
        <v>54873613.229386866</v>
      </c>
    </row>
    <row r="78" spans="1:6">
      <c r="A78" s="341" t="s">
        <v>66</v>
      </c>
      <c r="B78" s="341" t="s">
        <v>657</v>
      </c>
      <c r="C78" s="341" t="s">
        <v>663</v>
      </c>
      <c r="D78" s="1214">
        <v>6871781</v>
      </c>
      <c r="E78" s="1214">
        <v>6577948.2967136288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947888.76435588405</v>
      </c>
      <c r="C83" s="476">
        <v>949178.70070777857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4903.0000805411773</v>
      </c>
    </row>
    <row r="92" spans="1:6">
      <c r="A92" s="341" t="s">
        <v>69</v>
      </c>
      <c r="B92" s="342">
        <v>5353.0740879328614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7932</v>
      </c>
    </row>
    <row r="98" spans="1:6">
      <c r="A98" s="348" t="s">
        <v>72</v>
      </c>
      <c r="B98" s="334">
        <v>4</v>
      </c>
    </row>
    <row r="99" spans="1:6">
      <c r="A99" s="348" t="s">
        <v>73</v>
      </c>
      <c r="B99" s="334">
        <v>90</v>
      </c>
    </row>
    <row r="100" spans="1:6">
      <c r="A100" s="348" t="s">
        <v>74</v>
      </c>
      <c r="B100" s="334">
        <v>630</v>
      </c>
    </row>
    <row r="101" spans="1:6">
      <c r="A101" s="348" t="s">
        <v>75</v>
      </c>
      <c r="B101" s="334">
        <v>56</v>
      </c>
    </row>
    <row r="102" spans="1:6">
      <c r="A102" s="348" t="s">
        <v>76</v>
      </c>
      <c r="B102" s="334">
        <v>307</v>
      </c>
    </row>
    <row r="103" spans="1:6">
      <c r="A103" s="348" t="s">
        <v>77</v>
      </c>
      <c r="B103" s="334">
        <v>329</v>
      </c>
    </row>
    <row r="104" spans="1:6">
      <c r="A104" s="348" t="s">
        <v>78</v>
      </c>
      <c r="B104" s="334">
        <v>4635</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49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154</v>
      </c>
    </row>
    <row r="130" spans="1:6">
      <c r="A130" s="348" t="s">
        <v>295</v>
      </c>
      <c r="B130" s="334">
        <v>2</v>
      </c>
    </row>
    <row r="131" spans="1:6">
      <c r="A131" s="348" t="s">
        <v>296</v>
      </c>
      <c r="B131" s="334">
        <v>8</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220393.14480133282</v>
      </c>
      <c r="C3" s="43" t="s">
        <v>170</v>
      </c>
      <c r="D3" s="43"/>
      <c r="E3" s="154"/>
      <c r="F3" s="43"/>
      <c r="G3" s="43"/>
      <c r="H3" s="43"/>
      <c r="I3" s="43"/>
      <c r="J3" s="43"/>
      <c r="K3" s="96"/>
    </row>
    <row r="4" spans="1:11">
      <c r="A4" s="383" t="s">
        <v>171</v>
      </c>
      <c r="B4" s="49">
        <f>IF(ISERROR('SEAP template'!B69),0,'SEAP template'!B69)</f>
        <v>10256.074168474039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0.21071568560684625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2384.8580000000002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2384.8580000000002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0.21071568560684625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502.5269885449722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47568.556917329282</v>
      </c>
      <c r="C5" s="17">
        <f>IF(ISERROR('Eigen informatie GS &amp; warmtenet'!B57),0,'Eigen informatie GS &amp; warmtenet'!B57)</f>
        <v>0</v>
      </c>
      <c r="D5" s="30">
        <f>(SUM(HH_hh_gas_kWh,HH_rest_gas_kWh)/1000)*0.902</f>
        <v>162302.80082755015</v>
      </c>
      <c r="E5" s="17">
        <f>B46*B57</f>
        <v>5002.2238747257579</v>
      </c>
      <c r="F5" s="17">
        <f>B51*B62</f>
        <v>49324.952538038022</v>
      </c>
      <c r="G5" s="18"/>
      <c r="H5" s="17"/>
      <c r="I5" s="17"/>
      <c r="J5" s="17">
        <f>B50*B61+C50*C61</f>
        <v>906.19040306583793</v>
      </c>
      <c r="K5" s="17"/>
      <c r="L5" s="17"/>
      <c r="M5" s="17"/>
      <c r="N5" s="17">
        <f>B48*B59+C48*C59</f>
        <v>10607.213500332768</v>
      </c>
      <c r="O5" s="17">
        <f>B69*B70*B71</f>
        <v>318.92</v>
      </c>
      <c r="P5" s="17">
        <f>B77*B78*B79/1000-B77*B78*B79/1000/B80</f>
        <v>762.66666666666674</v>
      </c>
    </row>
    <row r="6" spans="1:16">
      <c r="A6" s="16" t="s">
        <v>621</v>
      </c>
      <c r="B6" s="843">
        <f>kWh_PV_kleiner_dan_10kW</f>
        <v>4903.0000805411773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52471.556997870459</v>
      </c>
      <c r="C8" s="21">
        <f>C5</f>
        <v>0</v>
      </c>
      <c r="D8" s="21">
        <f>D5</f>
        <v>162302.80082755015</v>
      </c>
      <c r="E8" s="21">
        <f>E5</f>
        <v>5002.2238747257579</v>
      </c>
      <c r="F8" s="21">
        <f>F5</f>
        <v>49324.952538038022</v>
      </c>
      <c r="G8" s="21"/>
      <c r="H8" s="21"/>
      <c r="I8" s="21"/>
      <c r="J8" s="21">
        <f>J5</f>
        <v>906.19040306583793</v>
      </c>
      <c r="K8" s="21"/>
      <c r="L8" s="21">
        <f>L5</f>
        <v>0</v>
      </c>
      <c r="M8" s="21">
        <f>M5</f>
        <v>0</v>
      </c>
      <c r="N8" s="21">
        <f>N5</f>
        <v>10607.213500332768</v>
      </c>
      <c r="O8" s="21">
        <f>O5</f>
        <v>318.92</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0.21071568560684625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11056.580107664986</v>
      </c>
      <c r="C12" s="23">
        <f ca="1">C10*C8</f>
        <v>0</v>
      </c>
      <c r="D12" s="23">
        <f>D8*D10</f>
        <v>32785.165767165134</v>
      </c>
      <c r="E12" s="23">
        <f>E10*E8</f>
        <v>1135.5048195627471</v>
      </c>
      <c r="F12" s="23">
        <f>F10*F8</f>
        <v>13169.762327656152</v>
      </c>
      <c r="G12" s="23"/>
      <c r="H12" s="23"/>
      <c r="I12" s="23"/>
      <c r="J12" s="23">
        <f>J10*J8</f>
        <v>320.79140268530659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7932</v>
      </c>
      <c r="C18" s="166" t="s">
        <v>111</v>
      </c>
      <c r="D18" s="228"/>
      <c r="E18" s="15"/>
    </row>
    <row r="19" spans="1:7">
      <c r="A19" s="171" t="s">
        <v>72</v>
      </c>
      <c r="B19" s="37">
        <f>aantalw2001_ander</f>
        <v>4</v>
      </c>
      <c r="C19" s="166" t="s">
        <v>111</v>
      </c>
      <c r="D19" s="229"/>
      <c r="E19" s="15"/>
    </row>
    <row r="20" spans="1:7">
      <c r="A20" s="171" t="s">
        <v>73</v>
      </c>
      <c r="B20" s="37">
        <f>aantalw2001_propaan</f>
        <v>90</v>
      </c>
      <c r="C20" s="167">
        <f>IF(ISERROR(B20/SUM($B$20,$B$21,$B$22)*100),0,B20/SUM($B$20,$B$21,$B$22)*100)</f>
        <v>11.597938144329897</v>
      </c>
      <c r="D20" s="229"/>
      <c r="E20" s="15"/>
    </row>
    <row r="21" spans="1:7">
      <c r="A21" s="171" t="s">
        <v>74</v>
      </c>
      <c r="B21" s="37">
        <f>aantalw2001_elektriciteit</f>
        <v>630</v>
      </c>
      <c r="C21" s="167">
        <f>IF(ISERROR(B21/SUM($B$20,$B$21,$B$22)*100),0,B21/SUM($B$20,$B$21,$B$22)*100)</f>
        <v>81.185567010309285</v>
      </c>
      <c r="D21" s="229"/>
      <c r="E21" s="15"/>
    </row>
    <row r="22" spans="1:7">
      <c r="A22" s="171" t="s">
        <v>75</v>
      </c>
      <c r="B22" s="37">
        <f>aantalw2001_hout</f>
        <v>56</v>
      </c>
      <c r="C22" s="167">
        <f>IF(ISERROR(B22/SUM($B$20,$B$21,$B$22)*100),0,B22/SUM($B$20,$B$21,$B$22)*100)</f>
        <v>7.216494845360824</v>
      </c>
      <c r="D22" s="229"/>
      <c r="E22" s="15"/>
    </row>
    <row r="23" spans="1:7">
      <c r="A23" s="171" t="s">
        <v>76</v>
      </c>
      <c r="B23" s="37">
        <f>aantalw2001_niet_gespec</f>
        <v>307</v>
      </c>
      <c r="C23" s="166" t="s">
        <v>111</v>
      </c>
      <c r="D23" s="228"/>
      <c r="E23" s="15"/>
    </row>
    <row r="24" spans="1:7">
      <c r="A24" s="171" t="s">
        <v>77</v>
      </c>
      <c r="B24" s="37">
        <f>aantalw2001_steenkool</f>
        <v>329</v>
      </c>
      <c r="C24" s="166" t="s">
        <v>111</v>
      </c>
      <c r="D24" s="229"/>
      <c r="E24" s="15"/>
    </row>
    <row r="25" spans="1:7">
      <c r="A25" s="171" t="s">
        <v>78</v>
      </c>
      <c r="B25" s="37">
        <f>aantalw2001_stookolie</f>
        <v>4635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14973</v>
      </c>
      <c r="C28" s="36"/>
      <c r="D28" s="228"/>
    </row>
    <row r="29" spans="1:7" s="15" customFormat="1">
      <c r="A29" s="230" t="s">
        <v>795</v>
      </c>
      <c r="B29" s="37">
        <f>SUM(HH_hh_gas_aantal,HH_rest_gas_aantal)</f>
        <v>10965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10965</v>
      </c>
      <c r="C32" s="167">
        <f>IF(ISERROR(B32/SUM($B$32,$B$34,$B$35,$B$36,$B$38,$B$39)*100),0,B32/SUM($B$32,$B$34,$B$35,$B$36,$B$38,$B$39)*100)</f>
        <v>73.42797830308713</v>
      </c>
      <c r="D32" s="233"/>
      <c r="G32" s="15"/>
    </row>
    <row r="33" spans="1:7">
      <c r="A33" s="171" t="s">
        <v>72</v>
      </c>
      <c r="B33" s="34" t="s">
        <v>111</v>
      </c>
      <c r="C33" s="167"/>
      <c r="D33" s="233"/>
      <c r="G33" s="15"/>
    </row>
    <row r="34" spans="1:7">
      <c r="A34" s="171" t="s">
        <v>73</v>
      </c>
      <c r="B34" s="33">
        <f>IF((($B$28-$B$32-$B$39-$B$77-$B$38)*C20/100)&lt;0,0,($B$28-$B$32-$B$39-$B$77-$B$38)*C20/100)</f>
        <v>236.25000000000003</v>
      </c>
      <c r="C34" s="167">
        <f>IF(ISERROR(B34/SUM($B$32,$B$34,$B$35,$B$36,$B$38,$B$39)*100),0,B34/SUM($B$32,$B$34,$B$35,$B$36,$B$38,$B$39)*100)</f>
        <v>1.5820665639858036</v>
      </c>
      <c r="D34" s="233"/>
      <c r="G34" s="15"/>
    </row>
    <row r="35" spans="1:7">
      <c r="A35" s="171" t="s">
        <v>74</v>
      </c>
      <c r="B35" s="33">
        <f>IF((($B$28-$B$32-$B$39-$B$77-$B$38)*C21/100)&lt;0,0,($B$28-$B$32-$B$39-$B$77-$B$38)*C21/100)</f>
        <v>1653.7500000000002</v>
      </c>
      <c r="C35" s="167">
        <f>IF(ISERROR(B35/SUM($B$32,$B$34,$B$35,$B$36,$B$38,$B$39)*100),0,B35/SUM($B$32,$B$34,$B$35,$B$36,$B$38,$B$39)*100)</f>
        <v>11.074465947900624</v>
      </c>
      <c r="D35" s="233"/>
      <c r="G35" s="15"/>
    </row>
    <row r="36" spans="1:7">
      <c r="A36" s="171" t="s">
        <v>75</v>
      </c>
      <c r="B36" s="33">
        <f>IF((($B$28-$B$32-$B$39-$B$77-$B$38)*C22/100)&lt;0,0,($B$28-$B$32-$B$39-$B$77-$B$38)*C22/100)</f>
        <v>147</v>
      </c>
      <c r="C36" s="167">
        <f>IF(ISERROR(B36/SUM($B$32,$B$34,$B$35,$B$36,$B$38,$B$39)*100),0,B36/SUM($B$32,$B$34,$B$35,$B$36,$B$38,$B$39)*100)</f>
        <v>0.98439697314672192</v>
      </c>
      <c r="D36" s="233"/>
      <c r="G36" s="15"/>
    </row>
    <row r="37" spans="1:7">
      <c r="A37" s="171" t="s">
        <v>76</v>
      </c>
      <c r="B37" s="34" t="s">
        <v>111</v>
      </c>
      <c r="C37" s="167"/>
      <c r="D37" s="173"/>
      <c r="G37" s="15"/>
    </row>
    <row r="38" spans="1:7">
      <c r="A38" s="171" t="s">
        <v>77</v>
      </c>
      <c r="B38" s="33">
        <f>IF((B24-(B29-B18)*0.1)&lt;0,0,B24-(B29-B18)*0.1)</f>
        <v>25.699999999999989</v>
      </c>
      <c r="C38" s="167">
        <f>IF(ISERROR(B38/SUM($B$32,$B$34,$B$35,$B$36,$B$38,$B$39)*100),0,B38/SUM($B$32,$B$34,$B$35,$B$36,$B$38,$B$39)*100)</f>
        <v>0.17210205584946084</v>
      </c>
      <c r="D38" s="234"/>
      <c r="G38" s="15"/>
    </row>
    <row r="39" spans="1:7">
      <c r="A39" s="171" t="s">
        <v>78</v>
      </c>
      <c r="B39" s="33">
        <f>IF((B25-(B29-B18))&lt;0,0,B25-(B29-B18)*0.9)</f>
        <v>1905.2999999999997</v>
      </c>
      <c r="C39" s="167">
        <f>IF(ISERROR(B39/SUM($B$32,$B$34,$B$35,$B$36,$B$38,$B$39)*100),0,B39/SUM($B$32,$B$34,$B$35,$B$36,$B$38,$B$39)*100)</f>
        <v>12.758990156030267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10965</v>
      </c>
      <c r="C44" s="34" t="s">
        <v>111</v>
      </c>
      <c r="D44" s="174"/>
    </row>
    <row r="45" spans="1:7">
      <c r="A45" s="171" t="s">
        <v>72</v>
      </c>
      <c r="B45" s="33" t="str">
        <f t="shared" si="0"/>
        <v>-</v>
      </c>
      <c r="C45" s="34" t="s">
        <v>111</v>
      </c>
      <c r="D45" s="174"/>
    </row>
    <row r="46" spans="1:7">
      <c r="A46" s="171" t="s">
        <v>73</v>
      </c>
      <c r="B46" s="33">
        <f t="shared" si="0"/>
        <v>236.25000000000003</v>
      </c>
      <c r="C46" s="34" t="s">
        <v>111</v>
      </c>
      <c r="D46" s="174"/>
    </row>
    <row r="47" spans="1:7">
      <c r="A47" s="171" t="s">
        <v>74</v>
      </c>
      <c r="B47" s="33">
        <f t="shared" si="0"/>
        <v>1653.7500000000002</v>
      </c>
      <c r="C47" s="34" t="s">
        <v>111</v>
      </c>
      <c r="D47" s="174"/>
    </row>
    <row r="48" spans="1:7">
      <c r="A48" s="171" t="s">
        <v>75</v>
      </c>
      <c r="B48" s="33">
        <f t="shared" si="0"/>
        <v>147</v>
      </c>
      <c r="C48" s="33">
        <f>B48*10</f>
        <v>1470</v>
      </c>
      <c r="D48" s="234"/>
    </row>
    <row r="49" spans="1:6">
      <c r="A49" s="171" t="s">
        <v>76</v>
      </c>
      <c r="B49" s="33" t="str">
        <f t="shared" si="0"/>
        <v>-</v>
      </c>
      <c r="C49" s="34" t="s">
        <v>111</v>
      </c>
      <c r="D49" s="234"/>
    </row>
    <row r="50" spans="1:6">
      <c r="A50" s="171" t="s">
        <v>77</v>
      </c>
      <c r="B50" s="33">
        <f t="shared" si="0"/>
        <v>25.699999999999989</v>
      </c>
      <c r="C50" s="33">
        <f>B50*2</f>
        <v>51.399999999999977</v>
      </c>
      <c r="D50" s="234"/>
    </row>
    <row r="51" spans="1:6">
      <c r="A51" s="171" t="s">
        <v>78</v>
      </c>
      <c r="B51" s="33">
        <f t="shared" si="0"/>
        <v>1905.2999999999997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62136.24343325568</v>
      </c>
      <c r="C5" s="17">
        <f>IF(ISERROR('Eigen informatie GS &amp; warmtenet'!B58),0,'Eigen informatie GS &amp; warmtenet'!B58)</f>
        <v>0</v>
      </c>
      <c r="D5" s="30">
        <f>SUM(D6:D12)</f>
        <v>90827.423106481874</v>
      </c>
      <c r="E5" s="17">
        <f>SUM(E6:E12)</f>
        <v>681.90513313802444</v>
      </c>
      <c r="F5" s="17">
        <f>SUM(F6:F12)</f>
        <v>10394.572820895432</v>
      </c>
      <c r="G5" s="18"/>
      <c r="H5" s="17"/>
      <c r="I5" s="17"/>
      <c r="J5" s="17">
        <f>SUM(J6:J12)</f>
        <v>9.721789439007951E-2</v>
      </c>
      <c r="K5" s="17"/>
      <c r="L5" s="17"/>
      <c r="M5" s="17"/>
      <c r="N5" s="17">
        <f>SUM(N6:N12)</f>
        <v>3986.6518218187093</v>
      </c>
      <c r="O5" s="17">
        <f>B38*B39*B40</f>
        <v>3.1266666666666669</v>
      </c>
      <c r="P5" s="17">
        <f>B46*B47*B48/1000-B46*B47*B48/1000/B49</f>
        <v>152.53333333333333</v>
      </c>
      <c r="R5" s="32"/>
    </row>
    <row r="6" spans="1:18">
      <c r="A6" s="32" t="s">
        <v>54</v>
      </c>
      <c r="B6" s="37">
        <f>B26</f>
        <v>25685.408844933299</v>
      </c>
      <c r="C6" s="33"/>
      <c r="D6" s="37">
        <f>IF(ISERROR(TER_kantoor_gas_kWh/1000),0,TER_kantoor_gas_kWh/1000)*0.902</f>
        <v>35845.764294963803</v>
      </c>
      <c r="E6" s="33">
        <f>$C$26*'E Balans VL '!I12/100/3.6*1000000</f>
        <v>0.16098759980689561</v>
      </c>
      <c r="F6" s="33">
        <f>$C$26*('E Balans VL '!L12+'E Balans VL '!N12)/100/3.6*1000000</f>
        <v>3859.7992306188075</v>
      </c>
      <c r="G6" s="34"/>
      <c r="H6" s="33"/>
      <c r="I6" s="33"/>
      <c r="J6" s="33">
        <f>$C$26*('E Balans VL '!D12+'E Balans VL '!E12)/100/3.6*1000000</f>
        <v>0</v>
      </c>
      <c r="K6" s="33"/>
      <c r="L6" s="33"/>
      <c r="M6" s="33"/>
      <c r="N6" s="33">
        <f>$C$26*'E Balans VL '!Y12/100/3.6*1000000</f>
        <v>24.56428528038095</v>
      </c>
      <c r="O6" s="33"/>
      <c r="P6" s="33"/>
      <c r="R6" s="32"/>
    </row>
    <row r="7" spans="1:18">
      <c r="A7" s="32" t="s">
        <v>53</v>
      </c>
      <c r="B7" s="37">
        <f t="shared" ref="B7:B12" si="0">B27</f>
        <v>5168.3660675122001</v>
      </c>
      <c r="C7" s="33"/>
      <c r="D7" s="37">
        <f>IF(ISERROR(TER_horeca_gas_kWh/1000),0,TER_horeca_gas_kWh/1000)*0.902</f>
        <v>10723.625159109533</v>
      </c>
      <c r="E7" s="33">
        <f>$C$27*'E Balans VL '!I9/100/3.6*1000000</f>
        <v>74.010141201329262</v>
      </c>
      <c r="F7" s="33">
        <f>$C$27*('E Balans VL '!L9+'E Balans VL '!N9)/100/3.6*1000000</f>
        <v>654.48560342704218</v>
      </c>
      <c r="G7" s="34"/>
      <c r="H7" s="33"/>
      <c r="I7" s="33"/>
      <c r="J7" s="33">
        <f>$C$27*('E Balans VL '!D9+'E Balans VL '!E9)/100/3.6*1000000</f>
        <v>0</v>
      </c>
      <c r="K7" s="33"/>
      <c r="L7" s="33"/>
      <c r="M7" s="33"/>
      <c r="N7" s="33">
        <f>$C$27*'E Balans VL '!Y9/100/3.6*1000000</f>
        <v>1.4857912917196296</v>
      </c>
      <c r="O7" s="33"/>
      <c r="P7" s="33"/>
      <c r="R7" s="32"/>
    </row>
    <row r="8" spans="1:18">
      <c r="A8" s="6" t="s">
        <v>52</v>
      </c>
      <c r="B8" s="37">
        <f t="shared" si="0"/>
        <v>15385.221873233701</v>
      </c>
      <c r="C8" s="33"/>
      <c r="D8" s="37">
        <f>IF(ISERROR(TER_handel_gas_kWh/1000),0,TER_handel_gas_kWh/1000)*0.902</f>
        <v>15269.037903677136</v>
      </c>
      <c r="E8" s="33">
        <f>$C$28*'E Balans VL '!I13/100/3.6*1000000</f>
        <v>558.02010012162327</v>
      </c>
      <c r="F8" s="33">
        <f>$C$28*('E Balans VL '!L13+'E Balans VL '!N13)/100/3.6*1000000</f>
        <v>2963.3495180607956</v>
      </c>
      <c r="G8" s="34"/>
      <c r="H8" s="33"/>
      <c r="I8" s="33"/>
      <c r="J8" s="33">
        <f>$C$28*('E Balans VL '!D13+'E Balans VL '!E13)/100/3.6*1000000</f>
        <v>0</v>
      </c>
      <c r="K8" s="33"/>
      <c r="L8" s="33"/>
      <c r="M8" s="33"/>
      <c r="N8" s="33">
        <f>$C$28*'E Balans VL '!Y13/100/3.6*1000000</f>
        <v>21.312072276103255</v>
      </c>
      <c r="O8" s="33"/>
      <c r="P8" s="33"/>
      <c r="R8" s="32"/>
    </row>
    <row r="9" spans="1:18">
      <c r="A9" s="32" t="s">
        <v>51</v>
      </c>
      <c r="B9" s="37">
        <f t="shared" si="0"/>
        <v>8298.0610261747697</v>
      </c>
      <c r="C9" s="33"/>
      <c r="D9" s="37">
        <f>IF(ISERROR(TER_gezond_gas_kWh/1000),0,TER_gezond_gas_kWh/1000)*0.902</f>
        <v>15547.351117445087</v>
      </c>
      <c r="E9" s="33">
        <f>$C$29*'E Balans VL '!I10/100/3.6*1000000</f>
        <v>0.5195405487899255</v>
      </c>
      <c r="F9" s="33">
        <f>$C$29*('E Balans VL '!L10+'E Balans VL '!N10)/100/3.6*1000000</f>
        <v>1232.7022306279573</v>
      </c>
      <c r="G9" s="34"/>
      <c r="H9" s="33"/>
      <c r="I9" s="33"/>
      <c r="J9" s="33">
        <f>$C$29*('E Balans VL '!D10+'E Balans VL '!E10)/100/3.6*1000000</f>
        <v>0</v>
      </c>
      <c r="K9" s="33"/>
      <c r="L9" s="33"/>
      <c r="M9" s="33"/>
      <c r="N9" s="33">
        <f>$C$29*'E Balans VL '!Y10/100/3.6*1000000</f>
        <v>128.35520864731689</v>
      </c>
      <c r="O9" s="33"/>
      <c r="P9" s="33"/>
      <c r="R9" s="32"/>
    </row>
    <row r="10" spans="1:18">
      <c r="A10" s="32" t="s">
        <v>50</v>
      </c>
      <c r="B10" s="37">
        <f t="shared" si="0"/>
        <v>4157.6011027784598</v>
      </c>
      <c r="C10" s="33"/>
      <c r="D10" s="37">
        <f>IF(ISERROR(TER_ander_gas_kWh/1000),0,TER_ander_gas_kWh/1000)*0.902</f>
        <v>3547.0689112478049</v>
      </c>
      <c r="E10" s="33">
        <f>$C$30*'E Balans VL '!I14/100/3.6*1000000</f>
        <v>4.9557119469520172</v>
      </c>
      <c r="F10" s="33">
        <f>$C$30*('E Balans VL '!L14+'E Balans VL '!N14)/100/3.6*1000000</f>
        <v>1087.813280914555</v>
      </c>
      <c r="G10" s="34"/>
      <c r="H10" s="33"/>
      <c r="I10" s="33"/>
      <c r="J10" s="33">
        <f>$C$30*('E Balans VL '!D14+'E Balans VL '!E14)/100/3.6*1000000</f>
        <v>9.0245222594999147E-2</v>
      </c>
      <c r="K10" s="33"/>
      <c r="L10" s="33"/>
      <c r="M10" s="33"/>
      <c r="N10" s="33">
        <f>$C$30*'E Balans VL '!Y14/100/3.6*1000000</f>
        <v>3530.5331214125067</v>
      </c>
      <c r="O10" s="33"/>
      <c r="P10" s="33"/>
      <c r="R10" s="32"/>
    </row>
    <row r="11" spans="1:18">
      <c r="A11" s="32" t="s">
        <v>55</v>
      </c>
      <c r="B11" s="37">
        <f t="shared" si="0"/>
        <v>562.12999552843496</v>
      </c>
      <c r="C11" s="33"/>
      <c r="D11" s="37">
        <f>IF(ISERROR(TER_onderwijs_gas_kWh/1000),0,TER_onderwijs_gas_kWh/1000)*0.902</f>
        <v>3147.844180487652</v>
      </c>
      <c r="E11" s="33">
        <f>$C$31*'E Balans VL '!I11/100/3.6*1000000</f>
        <v>8.4816362360724149</v>
      </c>
      <c r="F11" s="33">
        <f>$C$31*('E Balans VL '!L11+'E Balans VL '!N11)/100/3.6*1000000</f>
        <v>98.494155510421123</v>
      </c>
      <c r="G11" s="34"/>
      <c r="H11" s="33"/>
      <c r="I11" s="33"/>
      <c r="J11" s="33">
        <f>$C$31*('E Balans VL '!D11+'E Balans VL '!E11)/100/3.6*1000000</f>
        <v>0</v>
      </c>
      <c r="K11" s="33"/>
      <c r="L11" s="33"/>
      <c r="M11" s="33"/>
      <c r="N11" s="33">
        <f>$C$31*'E Balans VL '!Y11/100/3.6*1000000</f>
        <v>1.5818765421666956</v>
      </c>
      <c r="O11" s="33"/>
      <c r="P11" s="33"/>
      <c r="R11" s="32"/>
    </row>
    <row r="12" spans="1:18">
      <c r="A12" s="32" t="s">
        <v>260</v>
      </c>
      <c r="B12" s="37">
        <f t="shared" si="0"/>
        <v>2879.4545230948102</v>
      </c>
      <c r="C12" s="33"/>
      <c r="D12" s="37">
        <f>IF(ISERROR(TER_rest_gas_kWh/1000),0,TER_rest_gas_kWh/1000)*0.902</f>
        <v>6746.7315395508695</v>
      </c>
      <c r="E12" s="33">
        <f>$C$32*'E Balans VL '!I8/100/3.6*1000000</f>
        <v>35.757015483450694</v>
      </c>
      <c r="F12" s="33">
        <f>$C$32*('E Balans VL '!L8+'E Balans VL '!N8)/100/3.6*1000000</f>
        <v>497.92880173585166</v>
      </c>
      <c r="G12" s="34"/>
      <c r="H12" s="33"/>
      <c r="I12" s="33"/>
      <c r="J12" s="33">
        <f>$C$32*('E Balans VL '!D8+'E Balans VL '!E8)/100/3.6*1000000</f>
        <v>6.9726717950803685E-3</v>
      </c>
      <c r="K12" s="33"/>
      <c r="L12" s="33"/>
      <c r="M12" s="33"/>
      <c r="N12" s="33">
        <f>$C$32*'E Balans VL '!Y8/100/3.6*1000000</f>
        <v>278.81946636851495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62136.24343325568</v>
      </c>
      <c r="C16" s="21">
        <f t="shared" ca="1" si="1"/>
        <v>0</v>
      </c>
      <c r="D16" s="21">
        <f t="shared" ca="1" si="1"/>
        <v>90827.423106481874</v>
      </c>
      <c r="E16" s="21">
        <f t="shared" si="1"/>
        <v>681.90513313802444</v>
      </c>
      <c r="F16" s="21">
        <f t="shared" ca="1" si="1"/>
        <v>10394.572820895432</v>
      </c>
      <c r="G16" s="21">
        <f t="shared" si="1"/>
        <v>0</v>
      </c>
      <c r="H16" s="21">
        <f t="shared" si="1"/>
        <v>0</v>
      </c>
      <c r="I16" s="21">
        <f t="shared" si="1"/>
        <v>0</v>
      </c>
      <c r="J16" s="21">
        <f t="shared" si="1"/>
        <v>9.721789439007951E-2</v>
      </c>
      <c r="K16" s="21">
        <f t="shared" si="1"/>
        <v>0</v>
      </c>
      <c r="L16" s="21">
        <f t="shared" ca="1" si="1"/>
        <v>0</v>
      </c>
      <c r="M16" s="21">
        <f t="shared" si="1"/>
        <v>0</v>
      </c>
      <c r="N16" s="21">
        <f t="shared" ca="1" si="1"/>
        <v>3986.6518218187093</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0.21071568560684625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13093.081136072369</v>
      </c>
      <c r="C20" s="23">
        <f t="shared" ref="C20:P20" ca="1" si="2">C16*C18</f>
        <v>0</v>
      </c>
      <c r="D20" s="23">
        <f t="shared" ca="1" si="2"/>
        <v>18347.13946750934</v>
      </c>
      <c r="E20" s="23">
        <f t="shared" si="2"/>
        <v>154.79246522233154</v>
      </c>
      <c r="F20" s="23">
        <f t="shared" ca="1" si="2"/>
        <v>2775.3509431790803</v>
      </c>
      <c r="G20" s="23">
        <f t="shared" si="2"/>
        <v>0</v>
      </c>
      <c r="H20" s="23">
        <f t="shared" si="2"/>
        <v>0</v>
      </c>
      <c r="I20" s="23">
        <f t="shared" si="2"/>
        <v>0</v>
      </c>
      <c r="J20" s="23">
        <f t="shared" si="2"/>
        <v>3.4415134614088141E-2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25685.408844933299</v>
      </c>
      <c r="C26" s="39">
        <f>IF(ISERROR(B26*3.6/1000000/'E Balans VL '!Z12*100),0,B26*3.6/1000000/'E Balans VL '!Z12*100)</f>
        <v>0.54294885400762483</v>
      </c>
      <c r="D26" s="237" t="s">
        <v>754</v>
      </c>
      <c r="F26" s="6"/>
    </row>
    <row r="27" spans="1:18">
      <c r="A27" s="231" t="s">
        <v>53</v>
      </c>
      <c r="B27" s="33">
        <f>IF(ISERROR(TER_horeca_ele_kWh/1000),0,TER_horeca_ele_kWh/1000)</f>
        <v>5168.3660675122001</v>
      </c>
      <c r="C27" s="39">
        <f>IF(ISERROR(B27*3.6/1000000/'E Balans VL '!Z9*100),0,B27*3.6/1000000/'E Balans VL '!Z9*100)</f>
        <v>0.40742037075360976</v>
      </c>
      <c r="D27" s="237" t="s">
        <v>754</v>
      </c>
      <c r="F27" s="6"/>
    </row>
    <row r="28" spans="1:18">
      <c r="A28" s="171" t="s">
        <v>52</v>
      </c>
      <c r="B28" s="33">
        <f>IF(ISERROR(TER_handel_ele_kWh/1000),0,TER_handel_ele_kWh/1000)</f>
        <v>15385.221873233701</v>
      </c>
      <c r="C28" s="39">
        <f>IF(ISERROR(B28*3.6/1000000/'E Balans VL '!Z13*100),0,B28*3.6/1000000/'E Balans VL '!Z13*100)</f>
        <v>0.44654130202338282</v>
      </c>
      <c r="D28" s="237" t="s">
        <v>754</v>
      </c>
      <c r="F28" s="6"/>
    </row>
    <row r="29" spans="1:18">
      <c r="A29" s="231" t="s">
        <v>51</v>
      </c>
      <c r="B29" s="33">
        <f>IF(ISERROR(TER_gezond_ele_kWh/1000),0,TER_gezond_ele_kWh/1000)</f>
        <v>8298.0610261747697</v>
      </c>
      <c r="C29" s="39">
        <f>IF(ISERROR(B29*3.6/1000000/'E Balans VL '!Z10*100),0,B29*3.6/1000000/'E Balans VL '!Z10*100)</f>
        <v>0.87392208381493131</v>
      </c>
      <c r="D29" s="237" t="s">
        <v>754</v>
      </c>
      <c r="F29" s="6"/>
    </row>
    <row r="30" spans="1:18">
      <c r="A30" s="231" t="s">
        <v>50</v>
      </c>
      <c r="B30" s="33">
        <f>IF(ISERROR(TER_ander_ele_kWh/1000),0,TER_ander_ele_kWh/1000)</f>
        <v>4157.6011027784598</v>
      </c>
      <c r="C30" s="39">
        <f>IF(ISERROR(B30*3.6/1000000/'E Balans VL '!Z14*100),0,B30*3.6/1000000/'E Balans VL '!Z14*100)</f>
        <v>0.30666556036740678</v>
      </c>
      <c r="D30" s="237" t="s">
        <v>754</v>
      </c>
      <c r="F30" s="6"/>
    </row>
    <row r="31" spans="1:18">
      <c r="A31" s="231" t="s">
        <v>55</v>
      </c>
      <c r="B31" s="33">
        <f>IF(ISERROR(TER_onderwijs_ele_kWh/1000),0,TER_onderwijs_ele_kWh/1000)</f>
        <v>562.12999552843496</v>
      </c>
      <c r="C31" s="39">
        <f>IF(ISERROR(B31*3.6/1000000/'E Balans VL '!Z11*100),0,B31*3.6/1000000/'E Balans VL '!Z11*100)</f>
        <v>0.13960320960943018</v>
      </c>
      <c r="D31" s="237" t="s">
        <v>754</v>
      </c>
    </row>
    <row r="32" spans="1:18">
      <c r="A32" s="231" t="s">
        <v>260</v>
      </c>
      <c r="B32" s="33">
        <f>IF(ISERROR(TER_rest_ele_kWh/1000),0,TER_rest_ele_kWh/1000)</f>
        <v>2879.4545230948102</v>
      </c>
      <c r="C32" s="39">
        <f>IF(ISERROR(B32*3.6/1000000/'E Balans VL '!Z8*100),0,B32*3.6/1000000/'E Balans VL '!Z8*100)</f>
        <v>2.3694088637716142E-2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100736.73825548889</v>
      </c>
      <c r="C5" s="17">
        <f>IF(ISERROR('Eigen informatie GS &amp; warmtenet'!B59),0,'Eigen informatie GS &amp; warmtenet'!B59)</f>
        <v>0</v>
      </c>
      <c r="D5" s="30">
        <f>SUM(D6:D15)</f>
        <v>26481.493324142713</v>
      </c>
      <c r="E5" s="17">
        <f>SUM(E6:E15)</f>
        <v>7780.0911567748208</v>
      </c>
      <c r="F5" s="17">
        <f>SUM(F6:F15)</f>
        <v>25635.860154976261</v>
      </c>
      <c r="G5" s="18"/>
      <c r="H5" s="17"/>
      <c r="I5" s="17"/>
      <c r="J5" s="17">
        <f>SUM(J6:J15)</f>
        <v>275.88862613880519</v>
      </c>
      <c r="K5" s="17"/>
      <c r="L5" s="17"/>
      <c r="M5" s="17"/>
      <c r="N5" s="17">
        <f>SUM(N6:N15)</f>
        <v>22068.78047732437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558.80567064812897</v>
      </c>
      <c r="C8" s="33"/>
      <c r="D8" s="37">
        <f>IF( ISERROR(IND_metaal_Gas_kWH/1000),0,IND_metaal_Gas_kWH/1000)*0.902</f>
        <v>327.78431352003042</v>
      </c>
      <c r="E8" s="33">
        <f>C30*'E Balans VL '!I18/100/3.6*1000000</f>
        <v>5.1376784419602748</v>
      </c>
      <c r="F8" s="33">
        <f>C30*'E Balans VL '!L18/100/3.6*1000000+C30*'E Balans VL '!N18/100/3.6*1000000</f>
        <v>52.397367382783408</v>
      </c>
      <c r="G8" s="34"/>
      <c r="H8" s="33"/>
      <c r="I8" s="33"/>
      <c r="J8" s="40">
        <f>C30*'E Balans VL '!D18/100/3.6*1000000+C30*'E Balans VL '!E18/100/3.6*1000000</f>
        <v>0</v>
      </c>
      <c r="K8" s="33"/>
      <c r="L8" s="33"/>
      <c r="M8" s="33"/>
      <c r="N8" s="33">
        <f>C30*'E Balans VL '!Y18/100/3.6*1000000</f>
        <v>7.9722863570543963</v>
      </c>
      <c r="O8" s="33"/>
      <c r="P8" s="33"/>
      <c r="R8" s="32"/>
    </row>
    <row r="9" spans="1:18">
      <c r="A9" s="6" t="s">
        <v>33</v>
      </c>
      <c r="B9" s="37">
        <f t="shared" si="0"/>
        <v>11960.331129332901</v>
      </c>
      <c r="C9" s="33"/>
      <c r="D9" s="37">
        <f>IF( ISERROR(IND_andere_gas_kWh/1000),0,IND_andere_gas_kWh/1000)*0.902</f>
        <v>2661.5014499377721</v>
      </c>
      <c r="E9" s="33">
        <f>C31*'E Balans VL '!I19/100/3.6*1000000</f>
        <v>3496.2376292877539</v>
      </c>
      <c r="F9" s="33">
        <f>C31*'E Balans VL '!L19/100/3.6*1000000+C31*'E Balans VL '!N19/100/3.6*1000000</f>
        <v>9611.0313762998758</v>
      </c>
      <c r="G9" s="34"/>
      <c r="H9" s="33"/>
      <c r="I9" s="33"/>
      <c r="J9" s="40">
        <f>C31*'E Balans VL '!D19/100/3.6*1000000+C31*'E Balans VL '!E19/100/3.6*1000000</f>
        <v>0</v>
      </c>
      <c r="K9" s="33"/>
      <c r="L9" s="33"/>
      <c r="M9" s="33"/>
      <c r="N9" s="33">
        <f>C31*'E Balans VL '!Y19/100/3.6*1000000</f>
        <v>3951.8788967160417</v>
      </c>
      <c r="O9" s="33"/>
      <c r="P9" s="33"/>
      <c r="R9" s="32"/>
    </row>
    <row r="10" spans="1:18">
      <c r="A10" s="6" t="s">
        <v>41</v>
      </c>
      <c r="B10" s="37">
        <f t="shared" si="0"/>
        <v>11135.582170298301</v>
      </c>
      <c r="C10" s="33"/>
      <c r="D10" s="37">
        <f>IF( ISERROR(IND_voed_gas_kWh/1000),0,IND_voed_gas_kWh/1000)*0.902</f>
        <v>393.31494339944703</v>
      </c>
      <c r="E10" s="33">
        <f>C32*'E Balans VL '!I20/100/3.6*1000000</f>
        <v>23.557496740512562</v>
      </c>
      <c r="F10" s="33">
        <f>C32*'E Balans VL '!L20/100/3.6*1000000+C32*'E Balans VL '!N20/100/3.6*1000000</f>
        <v>708.01168905119619</v>
      </c>
      <c r="G10" s="34"/>
      <c r="H10" s="33"/>
      <c r="I10" s="33"/>
      <c r="J10" s="40">
        <f>C32*'E Balans VL '!D20/100/3.6*1000000+C32*'E Balans VL '!E20/100/3.6*1000000</f>
        <v>0</v>
      </c>
      <c r="K10" s="33"/>
      <c r="L10" s="33"/>
      <c r="M10" s="33"/>
      <c r="N10" s="33">
        <f>C32*'E Balans VL '!Y20/100/3.6*1000000</f>
        <v>768.46505836052165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18.549247853645401</v>
      </c>
      <c r="C13" s="33"/>
      <c r="D13" s="37">
        <f>IF( ISERROR(IND_papier_gas_kWh/1000),0,IND_papier_gas_kWh/1000)*0.902</f>
        <v>68.883114077923224</v>
      </c>
      <c r="E13" s="33">
        <f>C35*'E Balans VL '!I23/100/3.6*1000000</f>
        <v>2.6317140524270661E-2</v>
      </c>
      <c r="F13" s="33">
        <f>C35*'E Balans VL '!L23/100/3.6*1000000+C35*'E Balans VL '!N23/100/3.6*1000000</f>
        <v>0.45285688977648275</v>
      </c>
      <c r="G13" s="34"/>
      <c r="H13" s="33"/>
      <c r="I13" s="33"/>
      <c r="J13" s="40">
        <f>C35*'E Balans VL '!D23/100/3.6*1000000+C35*'E Balans VL '!E23/100/3.6*1000000</f>
        <v>2.8688153315174275E-3</v>
      </c>
      <c r="K13" s="33"/>
      <c r="L13" s="33"/>
      <c r="M13" s="33"/>
      <c r="N13" s="33">
        <f>C35*'E Balans VL '!Y23/100/3.6*1000000</f>
        <v>53.918272601983837</v>
      </c>
      <c r="O13" s="33"/>
      <c r="P13" s="33"/>
      <c r="R13" s="32"/>
    </row>
    <row r="14" spans="1:18">
      <c r="A14" s="6" t="s">
        <v>34</v>
      </c>
      <c r="B14" s="37">
        <f t="shared" si="0"/>
        <v>0</v>
      </c>
      <c r="C14" s="33"/>
      <c r="D14" s="37">
        <f>IF( ISERROR(IND_chemie_gas_kWh/1000),0,IND_chemie_gas_kWh/1000)*0.902</f>
        <v>77.095302721415052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77063.470037355903</v>
      </c>
      <c r="C15" s="33"/>
      <c r="D15" s="37">
        <f>IF( ISERROR(IND_rest_gas_kWh/1000),0,IND_rest_gas_kWh/1000)*0.902</f>
        <v>22952.914200486124</v>
      </c>
      <c r="E15" s="33">
        <f>C37*'E Balans VL '!I15/100/3.6*1000000</f>
        <v>4255.1320351640697</v>
      </c>
      <c r="F15" s="33">
        <f>C37*'E Balans VL '!L15/100/3.6*1000000+C37*'E Balans VL '!N15/100/3.6*1000000</f>
        <v>15263.966865352626</v>
      </c>
      <c r="G15" s="34"/>
      <c r="H15" s="33"/>
      <c r="I15" s="33"/>
      <c r="J15" s="40">
        <f>C37*'E Balans VL '!D15/100/3.6*1000000+C37*'E Balans VL '!E15/100/3.6*1000000</f>
        <v>275.88575732347368</v>
      </c>
      <c r="K15" s="33"/>
      <c r="L15" s="33"/>
      <c r="M15" s="33"/>
      <c r="N15" s="33">
        <f>C37*'E Balans VL '!Y15/100/3.6*1000000</f>
        <v>17286.545963288769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100736.73825548889</v>
      </c>
      <c r="C18" s="21">
        <f>C5+C16</f>
        <v>0</v>
      </c>
      <c r="D18" s="21">
        <f>MAX((D5+D16),0)</f>
        <v>26481.493324142713</v>
      </c>
      <c r="E18" s="21">
        <f>MAX((E5+E16),0)</f>
        <v>7780.0911567748208</v>
      </c>
      <c r="F18" s="21">
        <f>MAX((F5+F16),0)</f>
        <v>25635.860154976261</v>
      </c>
      <c r="G18" s="21"/>
      <c r="H18" s="21"/>
      <c r="I18" s="21"/>
      <c r="J18" s="21">
        <f>MAX((J5+J16),0)</f>
        <v>275.88862613880519</v>
      </c>
      <c r="K18" s="21"/>
      <c r="L18" s="21">
        <f>MAX((L5+L16),0)</f>
        <v>0</v>
      </c>
      <c r="M18" s="21"/>
      <c r="N18" s="21">
        <f>MAX((N5+N16),0)</f>
        <v>22068.78047732437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0.21071568560684625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21226.81086730276</v>
      </c>
      <c r="C22" s="23">
        <f ca="1">C18*C20</f>
        <v>0</v>
      </c>
      <c r="D22" s="23">
        <f>D18*D20</f>
        <v>5349.2616514768288</v>
      </c>
      <c r="E22" s="23">
        <f>E18*E20</f>
        <v>1766.0806925878844</v>
      </c>
      <c r="F22" s="23">
        <f>F18*F20</f>
        <v>6844.7746613786621</v>
      </c>
      <c r="G22" s="23"/>
      <c r="H22" s="23"/>
      <c r="I22" s="23"/>
      <c r="J22" s="23">
        <f>J18*J20</f>
        <v>97.66457365313704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558.80567064812897</v>
      </c>
      <c r="C30" s="39">
        <f>IF(ISERROR(B30*3.6/1000000/'E Balans VL '!Z18*100),0,B30*3.6/1000000/'E Balans VL '!Z18*100)</f>
        <v>3.166895022708574E-2</v>
      </c>
      <c r="D30" s="237" t="s">
        <v>754</v>
      </c>
    </row>
    <row r="31" spans="1:18">
      <c r="A31" s="6" t="s">
        <v>33</v>
      </c>
      <c r="B31" s="37">
        <f>IF( ISERROR(IND_ander_ele_kWh/1000),0,IND_ander_ele_kWh/1000)</f>
        <v>11960.331129332901</v>
      </c>
      <c r="C31" s="39">
        <f>IF(ISERROR(B31*3.6/1000000/'E Balans VL '!Z19*100),0,B31*3.6/1000000/'E Balans VL '!Z19*100)</f>
        <v>0.54247081807450559</v>
      </c>
      <c r="D31" s="237" t="s">
        <v>754</v>
      </c>
    </row>
    <row r="32" spans="1:18">
      <c r="A32" s="171" t="s">
        <v>41</v>
      </c>
      <c r="B32" s="37">
        <f>IF( ISERROR(IND_voed_ele_kWh/1000),0,IND_voed_ele_kWh/1000)</f>
        <v>11135.582170298301</v>
      </c>
      <c r="C32" s="39">
        <f>IF(ISERROR(B32*3.6/1000000/'E Balans VL '!Z20*100),0,B32*3.6/1000000/'E Balans VL '!Z20*100)</f>
        <v>0.34447410780205784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18.549247853645401</v>
      </c>
      <c r="C35" s="39">
        <f>IF(ISERROR(B35*3.6/1000000/'E Balans VL '!Z22*100),0,B35*3.6/1000000/'E Balans VL '!Z22*100)</f>
        <v>3.3364309590029578E-3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77063.470037355903</v>
      </c>
      <c r="C37" s="39">
        <f>IF(ISERROR(B37*3.6/1000000/'E Balans VL '!Z15*100),0,B37*3.6/1000000/'E Balans VL '!Z15*100)</f>
        <v>0.61082264298825084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2571.5778731040145</v>
      </c>
      <c r="C5" s="17">
        <f>'Eigen informatie GS &amp; warmtenet'!B60</f>
        <v>0</v>
      </c>
      <c r="D5" s="30">
        <f>IF(ISERROR(SUM(LB_lb_gas_kWh,LB_rest_gas_kWh,onbekend_gas_kWh)/1000),0,SUM(LB_lb_gas_kWh,LB_rest_gas_kWh,onbekend_gas_kWh)/1000)*0.902</f>
        <v>6673.5296519777239</v>
      </c>
      <c r="E5" s="17">
        <f>B17*'E Balans VL '!I25/3.6*1000000/100</f>
        <v>75.586528195930214</v>
      </c>
      <c r="F5" s="17">
        <f>B17*('E Balans VL '!L25/3.6*1000000+'E Balans VL '!N25/3.6*1000000)/100</f>
        <v>10713.054458576788</v>
      </c>
      <c r="G5" s="18"/>
      <c r="H5" s="17"/>
      <c r="I5" s="17"/>
      <c r="J5" s="17">
        <f>('E Balans VL '!D25+'E Balans VL '!E25)/3.6*1000000*landbouw!B17/100</f>
        <v>372.56640854578933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2571.5778731040145</v>
      </c>
      <c r="C8" s="21">
        <f>C5+C6</f>
        <v>0</v>
      </c>
      <c r="D8" s="21">
        <f>MAX((D5+D6),0)</f>
        <v>6673.5296519777239</v>
      </c>
      <c r="E8" s="21">
        <f>MAX((E5+E6),0)</f>
        <v>75.586528195930214</v>
      </c>
      <c r="F8" s="21">
        <f>MAX((F5+F6),0)</f>
        <v>10713.054458576788</v>
      </c>
      <c r="G8" s="21"/>
      <c r="H8" s="21"/>
      <c r="I8" s="21"/>
      <c r="J8" s="21">
        <f>MAX((J5+J6),0)</f>
        <v>372.56640854578933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0.21071568560684625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541.87179462250788</v>
      </c>
      <c r="C12" s="23">
        <f ca="1">C8*C10</f>
        <v>0</v>
      </c>
      <c r="D12" s="23">
        <f>D8*D10</f>
        <v>1348.0529896995004</v>
      </c>
      <c r="E12" s="23">
        <f>E8*E10</f>
        <v>17.15814190047616</v>
      </c>
      <c r="F12" s="23">
        <f>F8*F10</f>
        <v>2860.3855404400024</v>
      </c>
      <c r="G12" s="23"/>
      <c r="H12" s="23"/>
      <c r="I12" s="23"/>
      <c r="J12" s="23">
        <f>J8*J10</f>
        <v>131.88850862520943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0.36491496827298514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390.08352532795442</v>
      </c>
      <c r="C26" s="247">
        <f>B26*'GWP N2O_CH4'!B5</f>
        <v>8191.7540318870424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96.949386238019699</v>
      </c>
      <c r="C27" s="247">
        <f>B27*'GWP N2O_CH4'!B5</f>
        <v>2035.9371109984136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4.8610930355871398</v>
      </c>
      <c r="C28" s="247">
        <f>B28*'GWP N2O_CH4'!B4</f>
        <v>1506.9388410320134</v>
      </c>
      <c r="D28" s="50"/>
    </row>
    <row r="29" spans="1:4">
      <c r="A29" s="41" t="s">
        <v>277</v>
      </c>
      <c r="B29" s="247">
        <f>B34*'ha_N2O bodem landbouw'!B4</f>
        <v>30.679330724308226</v>
      </c>
      <c r="C29" s="247">
        <f>B29*'GWP N2O_CH4'!B4</f>
        <v>9510.5925245355502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7.0009175456100343E-3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3.3181286980967113E-4</v>
      </c>
      <c r="C5" s="463" t="s">
        <v>211</v>
      </c>
      <c r="D5" s="448">
        <f>SUM(D6:D11)</f>
        <v>1.1596543120340743E-3</v>
      </c>
      <c r="E5" s="448">
        <f>SUM(E6:E11)</f>
        <v>1.6273472935365596E-3</v>
      </c>
      <c r="F5" s="461" t="s">
        <v>211</v>
      </c>
      <c r="G5" s="448">
        <f>SUM(G6:G11)</f>
        <v>0.63058137784061252</v>
      </c>
      <c r="H5" s="448">
        <f>SUM(H6:H11)</f>
        <v>0.13192731170797281</v>
      </c>
      <c r="I5" s="463" t="s">
        <v>211</v>
      </c>
      <c r="J5" s="463" t="s">
        <v>211</v>
      </c>
      <c r="K5" s="463" t="s">
        <v>211</v>
      </c>
      <c r="L5" s="463" t="s">
        <v>211</v>
      </c>
      <c r="M5" s="448">
        <f>SUM(M6:M11)</f>
        <v>4.0757689641791606E-2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1.9101936948896631E-4</v>
      </c>
      <c r="C6" s="449"/>
      <c r="D6" s="962">
        <f>vkm_2011_GW_PW*SUMIFS(TableVerdeelsleutelVkm[CNG],TableVerdeelsleutelVkm[Voertuigtype],"Lichte voertuigen")*SUMIFS(TableECFTransport[EnergieConsumptieFactor (PJ per km)],TableECFTransport[Index],CONCATENATE($A6,"_CNG_CNG"))</f>
        <v>5.7294847332133329E-4</v>
      </c>
      <c r="E6" s="962">
        <f>vkm_2011_GW_PW*SUMIFS(TableVerdeelsleutelVkm[LPG],TableVerdeelsleutelVkm[Voertuigtype],"Lichte voertuigen")*SUMIFS(TableECFTransport[EnergieConsumptieFactor (PJ per km)],TableECFTransport[Index],CONCATENATE($A6,"_LPG_LPG"))</f>
        <v>7.8272991454920472E-4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0.20237807500545593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6.5154898191828625E-2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1.3757631468521558E-2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0.14754245362630208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4.4960076610675618E-5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8.621891075114043E-3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6.6027443718841085E-5</v>
      </c>
      <c r="C8" s="449"/>
      <c r="D8" s="451">
        <f>vkm_2011_NGW_PW*SUMIFS(TableVerdeelsleutelVkm[CNG],TableVerdeelsleutelVkm[Voertuigtype],"Lichte voertuigen")*SUMIFS(TableECFTransport[EnergieConsumptieFactor (PJ per km)],TableECFTransport[Index],CONCATENATE($A8,"_CNG_CNG"))</f>
        <v>3.5212522372987263E-4</v>
      </c>
      <c r="E8" s="451">
        <f>vkm_2011_NGW_PW*SUMIFS(TableVerdeelsleutelVkm[LPG],TableVerdeelsleutelVkm[Voertuigtype],"Lichte voertuigen")*SUMIFS(TableECFTransport[EnergieConsumptieFactor (PJ per km)],TableECFTransport[Index],CONCATENATE($A8,"_LPG_LPG"))</f>
        <v>4.4551025385120805E-4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0.10734352121936241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3.8913207580848728E-2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7.4263908705956404E-3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1.9865122370841148E-2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5.6987779810270568E-6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1.1608412667053654E-3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7.4766056601863749E-5</v>
      </c>
      <c r="C10" s="449"/>
      <c r="D10" s="451">
        <f>vkm_2011_SW_PW*SUMIFS(TableVerdeelsleutelVkm[CNG],TableVerdeelsleutelVkm[Voertuigtype],"Lichte voertuigen")*SUMIFS(TableECFTransport[EnergieConsumptieFactor (PJ per km)],TableECFTransport[Index],CONCATENATE($A10,"_CNG_CNG"))</f>
        <v>2.3458061498286852E-4</v>
      </c>
      <c r="E10" s="451">
        <f>vkm_2011_SW_PW*SUMIFS(TableVerdeelsleutelVkm[LPG],TableVerdeelsleutelVkm[Voertuigtype],"Lichte voertuigen")*SUMIFS(TableECFTransport[EnergieConsumptieFactor (PJ per km)],TableECFTransport[Index],CONCATENATE($A10,"_LPG_LPG"))</f>
        <v>3.9910712513614672E-4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9.1995096599932324E-2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2.7788323330376067E-2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6.1995411871526651E-3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6.1457109018718585E-2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2.022375032767096E-5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3.591393773702327E-3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92.170241613797543</v>
      </c>
      <c r="C14" s="21"/>
      <c r="D14" s="21">
        <f t="shared" ref="D14:M14" si="0">((D5)*10^9/3600)+D12</f>
        <v>322.12619778724292</v>
      </c>
      <c r="E14" s="21">
        <f t="shared" si="0"/>
        <v>452.04091487126652</v>
      </c>
      <c r="F14" s="21"/>
      <c r="G14" s="21">
        <f t="shared" si="0"/>
        <v>175161.4938446146</v>
      </c>
      <c r="H14" s="21">
        <f t="shared" si="0"/>
        <v>36646.475474436891</v>
      </c>
      <c r="I14" s="21"/>
      <c r="J14" s="21"/>
      <c r="K14" s="21"/>
      <c r="L14" s="21"/>
      <c r="M14" s="21">
        <f t="shared" si="0"/>
        <v>11321.580456053223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0.21071568560684625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19.421715654200021</v>
      </c>
      <c r="C18" s="23"/>
      <c r="D18" s="23">
        <f t="shared" ref="D18:M18" si="1">D14*D16</f>
        <v>65.069491953023075</v>
      </c>
      <c r="E18" s="23">
        <f t="shared" si="1"/>
        <v>102.6132876757775</v>
      </c>
      <c r="F18" s="23"/>
      <c r="G18" s="23">
        <f t="shared" si="1"/>
        <v>46768.118856512097</v>
      </c>
      <c r="H18" s="23">
        <f t="shared" si="1"/>
        <v>9124.9723931347853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1.1905631546427044E-2</v>
      </c>
      <c r="H50" s="321">
        <f t="shared" si="2"/>
        <v>0</v>
      </c>
      <c r="I50" s="321">
        <f t="shared" si="2"/>
        <v>0</v>
      </c>
      <c r="J50" s="321">
        <f t="shared" si="2"/>
        <v>0</v>
      </c>
      <c r="K50" s="321">
        <f t="shared" si="2"/>
        <v>0</v>
      </c>
      <c r="L50" s="321">
        <f t="shared" si="2"/>
        <v>0</v>
      </c>
      <c r="M50" s="321">
        <f t="shared" si="2"/>
        <v>6.7618731351718787E-4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1.1905631546427044E-2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6.7618731351718787E-4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3307.1198740075124</v>
      </c>
      <c r="H54" s="21">
        <f t="shared" si="3"/>
        <v>0</v>
      </c>
      <c r="I54" s="21">
        <f t="shared" si="3"/>
        <v>0</v>
      </c>
      <c r="J54" s="21">
        <f t="shared" si="3"/>
        <v>0</v>
      </c>
      <c r="K54" s="21">
        <f t="shared" si="3"/>
        <v>0</v>
      </c>
      <c r="L54" s="21">
        <f t="shared" si="3"/>
        <v>0</v>
      </c>
      <c r="M54" s="21">
        <f t="shared" si="3"/>
        <v>187.82980931032995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0.21071568560684625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883.00100636000582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10256.074168474039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10256.074168474039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64521.101433255681</v>
      </c>
      <c r="D10" s="718">
        <f ca="1">tertiair!C16</f>
        <v>0</v>
      </c>
      <c r="E10" s="718">
        <f ca="1">tertiair!D16</f>
        <v>90827.423106481874</v>
      </c>
      <c r="F10" s="718">
        <f>tertiair!E16</f>
        <v>681.90513313802444</v>
      </c>
      <c r="G10" s="718">
        <f ca="1">tertiair!F16</f>
        <v>10394.572820895432</v>
      </c>
      <c r="H10" s="718">
        <f>tertiair!G16</f>
        <v>0</v>
      </c>
      <c r="I10" s="718">
        <f>tertiair!H16</f>
        <v>0</v>
      </c>
      <c r="J10" s="718">
        <f>tertiair!I16</f>
        <v>0</v>
      </c>
      <c r="K10" s="718">
        <f>tertiair!J16</f>
        <v>9.721789439007951E-2</v>
      </c>
      <c r="L10" s="718">
        <f>tertiair!K16</f>
        <v>0</v>
      </c>
      <c r="M10" s="718">
        <f ca="1">tertiair!L16</f>
        <v>0</v>
      </c>
      <c r="N10" s="718">
        <f>tertiair!M16</f>
        <v>0</v>
      </c>
      <c r="O10" s="718">
        <f ca="1">tertiair!N16</f>
        <v>3986.6518218187093</v>
      </c>
      <c r="P10" s="718">
        <f>tertiair!O16</f>
        <v>3.1266666666666669</v>
      </c>
      <c r="Q10" s="719">
        <f>tertiair!P16</f>
        <v>152.53333333333333</v>
      </c>
      <c r="R10" s="721">
        <f ca="1">SUM(C10:Q10)</f>
        <v>170567.41153348412</v>
      </c>
      <c r="S10" s="67"/>
    </row>
    <row r="11" spans="1:19" s="474" customFormat="1">
      <c r="A11" s="870" t="s">
        <v>225</v>
      </c>
      <c r="B11" s="875"/>
      <c r="C11" s="718">
        <f>huishoudens!B8</f>
        <v>52471.556997870459</v>
      </c>
      <c r="D11" s="718">
        <f>huishoudens!C8</f>
        <v>0</v>
      </c>
      <c r="E11" s="718">
        <f>huishoudens!D8</f>
        <v>162302.80082755015</v>
      </c>
      <c r="F11" s="718">
        <f>huishoudens!E8</f>
        <v>5002.2238747257579</v>
      </c>
      <c r="G11" s="718">
        <f>huishoudens!F8</f>
        <v>49324.952538038022</v>
      </c>
      <c r="H11" s="718">
        <f>huishoudens!G8</f>
        <v>0</v>
      </c>
      <c r="I11" s="718">
        <f>huishoudens!H8</f>
        <v>0</v>
      </c>
      <c r="J11" s="718">
        <f>huishoudens!I8</f>
        <v>0</v>
      </c>
      <c r="K11" s="718">
        <f>huishoudens!J8</f>
        <v>906.19040306583793</v>
      </c>
      <c r="L11" s="718">
        <f>huishoudens!K8</f>
        <v>0</v>
      </c>
      <c r="M11" s="718">
        <f>huishoudens!L8</f>
        <v>0</v>
      </c>
      <c r="N11" s="718">
        <f>huishoudens!M8</f>
        <v>0</v>
      </c>
      <c r="O11" s="718">
        <f>huishoudens!N8</f>
        <v>10607.213500332768</v>
      </c>
      <c r="P11" s="718">
        <f>huishoudens!O8</f>
        <v>318.92</v>
      </c>
      <c r="Q11" s="719">
        <f>huishoudens!P8</f>
        <v>762.66666666666674</v>
      </c>
      <c r="R11" s="721">
        <f>SUM(C11:Q11)</f>
        <v>281696.52480824967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100736.73825548889</v>
      </c>
      <c r="D13" s="718">
        <f>industrie!C18</f>
        <v>0</v>
      </c>
      <c r="E13" s="718">
        <f>industrie!D18</f>
        <v>26481.493324142713</v>
      </c>
      <c r="F13" s="718">
        <f>industrie!E18</f>
        <v>7780.0911567748208</v>
      </c>
      <c r="G13" s="718">
        <f>industrie!F18</f>
        <v>25635.860154976261</v>
      </c>
      <c r="H13" s="718">
        <f>industrie!G18</f>
        <v>0</v>
      </c>
      <c r="I13" s="718">
        <f>industrie!H18</f>
        <v>0</v>
      </c>
      <c r="J13" s="718">
        <f>industrie!I18</f>
        <v>0</v>
      </c>
      <c r="K13" s="718">
        <f>industrie!J18</f>
        <v>275.88862613880519</v>
      </c>
      <c r="L13" s="718">
        <f>industrie!K18</f>
        <v>0</v>
      </c>
      <c r="M13" s="718">
        <f>industrie!L18</f>
        <v>0</v>
      </c>
      <c r="N13" s="718">
        <f>industrie!M18</f>
        <v>0</v>
      </c>
      <c r="O13" s="718">
        <f>industrie!N18</f>
        <v>22068.78047732437</v>
      </c>
      <c r="P13" s="718">
        <f>industrie!O18</f>
        <v>0</v>
      </c>
      <c r="Q13" s="719">
        <f>industrie!P18</f>
        <v>0</v>
      </c>
      <c r="R13" s="721">
        <f>SUM(C13:Q13)</f>
        <v>182978.85199484584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217729.39668661501</v>
      </c>
      <c r="D15" s="723">
        <f t="shared" ref="D15:Q15" ca="1" si="0">SUM(D9:D14)</f>
        <v>0</v>
      </c>
      <c r="E15" s="723">
        <f t="shared" ca="1" si="0"/>
        <v>279611.71725817473</v>
      </c>
      <c r="F15" s="723">
        <f t="shared" si="0"/>
        <v>13464.220164638602</v>
      </c>
      <c r="G15" s="723">
        <f t="shared" ca="1" si="0"/>
        <v>85355.385513909714</v>
      </c>
      <c r="H15" s="723">
        <f t="shared" si="0"/>
        <v>0</v>
      </c>
      <c r="I15" s="723">
        <f t="shared" si="0"/>
        <v>0</v>
      </c>
      <c r="J15" s="723">
        <f t="shared" si="0"/>
        <v>0</v>
      </c>
      <c r="K15" s="723">
        <f t="shared" si="0"/>
        <v>1182.1762470990332</v>
      </c>
      <c r="L15" s="723">
        <f t="shared" si="0"/>
        <v>0</v>
      </c>
      <c r="M15" s="723">
        <f t="shared" ca="1" si="0"/>
        <v>0</v>
      </c>
      <c r="N15" s="723">
        <f t="shared" si="0"/>
        <v>0</v>
      </c>
      <c r="O15" s="723">
        <f t="shared" ca="1" si="0"/>
        <v>36662.645799475846</v>
      </c>
      <c r="P15" s="723">
        <f t="shared" si="0"/>
        <v>322.04666666666668</v>
      </c>
      <c r="Q15" s="724">
        <f t="shared" si="0"/>
        <v>915.2</v>
      </c>
      <c r="R15" s="725">
        <f ca="1">SUM(R9:R14)</f>
        <v>635242.78833657969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3307.1198740075124</v>
      </c>
      <c r="I18" s="718">
        <f>transport!H54</f>
        <v>0</v>
      </c>
      <c r="J18" s="718">
        <f>transport!I54</f>
        <v>0</v>
      </c>
      <c r="K18" s="718">
        <f>transport!J54</f>
        <v>0</v>
      </c>
      <c r="L18" s="718">
        <f>transport!K54</f>
        <v>0</v>
      </c>
      <c r="M18" s="718">
        <f>transport!L54</f>
        <v>0</v>
      </c>
      <c r="N18" s="718">
        <f>transport!M54</f>
        <v>187.82980931032995</v>
      </c>
      <c r="O18" s="718">
        <f>transport!N54</f>
        <v>0</v>
      </c>
      <c r="P18" s="718">
        <f>transport!O54</f>
        <v>0</v>
      </c>
      <c r="Q18" s="719">
        <f>transport!P54</f>
        <v>0</v>
      </c>
      <c r="R18" s="721">
        <f>SUM(C18:Q18)</f>
        <v>3494.9496833178423</v>
      </c>
      <c r="S18" s="67"/>
    </row>
    <row r="19" spans="1:19" s="474" customFormat="1" ht="15" thickBot="1">
      <c r="A19" s="870" t="s">
        <v>307</v>
      </c>
      <c r="B19" s="875"/>
      <c r="C19" s="727">
        <f>transport!B14</f>
        <v>92.170241613797543</v>
      </c>
      <c r="D19" s="727">
        <f>transport!C14</f>
        <v>0</v>
      </c>
      <c r="E19" s="727">
        <f>transport!D14</f>
        <v>322.12619778724292</v>
      </c>
      <c r="F19" s="727">
        <f>transport!E14</f>
        <v>452.04091487126652</v>
      </c>
      <c r="G19" s="727">
        <f>transport!F14</f>
        <v>0</v>
      </c>
      <c r="H19" s="727">
        <f>transport!G14</f>
        <v>175161.4938446146</v>
      </c>
      <c r="I19" s="727">
        <f>transport!H14</f>
        <v>36646.475474436891</v>
      </c>
      <c r="J19" s="727">
        <f>transport!I14</f>
        <v>0</v>
      </c>
      <c r="K19" s="727">
        <f>transport!J14</f>
        <v>0</v>
      </c>
      <c r="L19" s="727">
        <f>transport!K14</f>
        <v>0</v>
      </c>
      <c r="M19" s="727">
        <f>transport!L14</f>
        <v>0</v>
      </c>
      <c r="N19" s="727">
        <f>transport!M14</f>
        <v>11321.580456053223</v>
      </c>
      <c r="O19" s="727">
        <f>transport!N14</f>
        <v>0</v>
      </c>
      <c r="P19" s="727">
        <f>transport!O14</f>
        <v>0</v>
      </c>
      <c r="Q19" s="728">
        <f>transport!P14</f>
        <v>0</v>
      </c>
      <c r="R19" s="729">
        <f>SUM(C19:Q19)</f>
        <v>223995.88712937702</v>
      </c>
      <c r="S19" s="67"/>
    </row>
    <row r="20" spans="1:19" s="474" customFormat="1" ht="15.75" thickBot="1">
      <c r="A20" s="730" t="s">
        <v>230</v>
      </c>
      <c r="B20" s="878"/>
      <c r="C20" s="873">
        <f>SUM(C17:C19)</f>
        <v>92.170241613797543</v>
      </c>
      <c r="D20" s="731">
        <f t="shared" ref="D20:R20" si="1">SUM(D17:D19)</f>
        <v>0</v>
      </c>
      <c r="E20" s="731">
        <f t="shared" si="1"/>
        <v>322.12619778724292</v>
      </c>
      <c r="F20" s="731">
        <f t="shared" si="1"/>
        <v>452.04091487126652</v>
      </c>
      <c r="G20" s="731">
        <f t="shared" si="1"/>
        <v>0</v>
      </c>
      <c r="H20" s="731">
        <f t="shared" si="1"/>
        <v>178468.6137186221</v>
      </c>
      <c r="I20" s="731">
        <f t="shared" si="1"/>
        <v>36646.475474436891</v>
      </c>
      <c r="J20" s="731">
        <f t="shared" si="1"/>
        <v>0</v>
      </c>
      <c r="K20" s="731">
        <f t="shared" si="1"/>
        <v>0</v>
      </c>
      <c r="L20" s="731">
        <f t="shared" si="1"/>
        <v>0</v>
      </c>
      <c r="M20" s="731">
        <f t="shared" si="1"/>
        <v>0</v>
      </c>
      <c r="N20" s="731">
        <f t="shared" si="1"/>
        <v>11509.410265363553</v>
      </c>
      <c r="O20" s="731">
        <f t="shared" si="1"/>
        <v>0</v>
      </c>
      <c r="P20" s="731">
        <f t="shared" si="1"/>
        <v>0</v>
      </c>
      <c r="Q20" s="732">
        <f t="shared" si="1"/>
        <v>0</v>
      </c>
      <c r="R20" s="733">
        <f t="shared" si="1"/>
        <v>227490.83681269488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2571.5778731040145</v>
      </c>
      <c r="D22" s="727">
        <f>+landbouw!C8</f>
        <v>0</v>
      </c>
      <c r="E22" s="727">
        <f>+landbouw!D8</f>
        <v>6673.5296519777239</v>
      </c>
      <c r="F22" s="727">
        <f>+landbouw!E8</f>
        <v>75.586528195930214</v>
      </c>
      <c r="G22" s="727">
        <f>+landbouw!F8</f>
        <v>10713.054458576788</v>
      </c>
      <c r="H22" s="727">
        <f>+landbouw!G8</f>
        <v>0</v>
      </c>
      <c r="I22" s="727">
        <f>+landbouw!H8</f>
        <v>0</v>
      </c>
      <c r="J22" s="727">
        <f>+landbouw!I8</f>
        <v>0</v>
      </c>
      <c r="K22" s="727">
        <f>+landbouw!J8</f>
        <v>372.56640854578933</v>
      </c>
      <c r="L22" s="727">
        <f>+landbouw!K8</f>
        <v>0</v>
      </c>
      <c r="M22" s="727">
        <f>+landbouw!L8</f>
        <v>0</v>
      </c>
      <c r="N22" s="727">
        <f>+landbouw!M8</f>
        <v>0</v>
      </c>
      <c r="O22" s="727">
        <f>+landbouw!N8</f>
        <v>0</v>
      </c>
      <c r="P22" s="727">
        <f>+landbouw!O8</f>
        <v>0</v>
      </c>
      <c r="Q22" s="728">
        <f>+landbouw!P8</f>
        <v>0</v>
      </c>
      <c r="R22" s="729">
        <f>SUM(C22:Q22)</f>
        <v>20406.314920400248</v>
      </c>
      <c r="S22" s="67"/>
    </row>
    <row r="23" spans="1:19" s="474" customFormat="1" ht="17.25" thickTop="1" thickBot="1">
      <c r="A23" s="734" t="s">
        <v>116</v>
      </c>
      <c r="B23" s="864"/>
      <c r="C23" s="735">
        <f ca="1">C20+C15+C22</f>
        <v>220393.14480133282</v>
      </c>
      <c r="D23" s="735">
        <f t="shared" ref="D23:Q23" ca="1" si="2">D20+D15+D22</f>
        <v>0</v>
      </c>
      <c r="E23" s="735">
        <f t="shared" ca="1" si="2"/>
        <v>286607.37310793967</v>
      </c>
      <c r="F23" s="735">
        <f t="shared" si="2"/>
        <v>13991.847607705799</v>
      </c>
      <c r="G23" s="735">
        <f t="shared" ca="1" si="2"/>
        <v>96068.439972486507</v>
      </c>
      <c r="H23" s="735">
        <f t="shared" si="2"/>
        <v>178468.6137186221</v>
      </c>
      <c r="I23" s="735">
        <f t="shared" si="2"/>
        <v>36646.475474436891</v>
      </c>
      <c r="J23" s="735">
        <f t="shared" si="2"/>
        <v>0</v>
      </c>
      <c r="K23" s="735">
        <f t="shared" si="2"/>
        <v>1554.7426556448224</v>
      </c>
      <c r="L23" s="735">
        <f t="shared" si="2"/>
        <v>0</v>
      </c>
      <c r="M23" s="735">
        <f t="shared" ca="1" si="2"/>
        <v>0</v>
      </c>
      <c r="N23" s="735">
        <f t="shared" si="2"/>
        <v>11509.410265363553</v>
      </c>
      <c r="O23" s="735">
        <f t="shared" ca="1" si="2"/>
        <v>36662.645799475846</v>
      </c>
      <c r="P23" s="735">
        <f t="shared" si="2"/>
        <v>322.04666666666668</v>
      </c>
      <c r="Q23" s="736">
        <f t="shared" si="2"/>
        <v>915.2</v>
      </c>
      <c r="R23" s="737">
        <f ca="1">R20+R15+R22</f>
        <v>883139.94006967486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13595.608124617342</v>
      </c>
      <c r="D36" s="718">
        <f ca="1">tertiair!C20</f>
        <v>0</v>
      </c>
      <c r="E36" s="718">
        <f ca="1">tertiair!D20</f>
        <v>18347.13946750934</v>
      </c>
      <c r="F36" s="718">
        <f>tertiair!E20</f>
        <v>154.79246522233154</v>
      </c>
      <c r="G36" s="718">
        <f ca="1">tertiair!F20</f>
        <v>2775.3509431790803</v>
      </c>
      <c r="H36" s="718">
        <f>tertiair!G20</f>
        <v>0</v>
      </c>
      <c r="I36" s="718">
        <f>tertiair!H20</f>
        <v>0</v>
      </c>
      <c r="J36" s="718">
        <f>tertiair!I20</f>
        <v>0</v>
      </c>
      <c r="K36" s="718">
        <f>tertiair!J20</f>
        <v>3.4415134614088141E-2</v>
      </c>
      <c r="L36" s="718">
        <f>tertiair!K20</f>
        <v>0</v>
      </c>
      <c r="M36" s="718">
        <f ca="1">tertiair!L20</f>
        <v>0</v>
      </c>
      <c r="N36" s="718">
        <f>tertiair!M20</f>
        <v>0</v>
      </c>
      <c r="O36" s="718">
        <f ca="1">tertiair!N20</f>
        <v>0</v>
      </c>
      <c r="P36" s="718">
        <f>tertiair!O20</f>
        <v>0</v>
      </c>
      <c r="Q36" s="828">
        <f>tertiair!P20</f>
        <v>0</v>
      </c>
      <c r="R36" s="917">
        <f ca="1">SUM(C36:Q36)</f>
        <v>34872.925415662707</v>
      </c>
    </row>
    <row r="37" spans="1:18">
      <c r="A37" s="885" t="s">
        <v>225</v>
      </c>
      <c r="B37" s="892"/>
      <c r="C37" s="718">
        <f ca="1">huishoudens!B12</f>
        <v>11056.580107664986</v>
      </c>
      <c r="D37" s="718">
        <f ca="1">huishoudens!C12</f>
        <v>0</v>
      </c>
      <c r="E37" s="718">
        <f>huishoudens!D12</f>
        <v>32785.165767165134</v>
      </c>
      <c r="F37" s="718">
        <f>huishoudens!E12</f>
        <v>1135.5048195627471</v>
      </c>
      <c r="G37" s="718">
        <f>huishoudens!F12</f>
        <v>13169.762327656152</v>
      </c>
      <c r="H37" s="718">
        <f>huishoudens!G12</f>
        <v>0</v>
      </c>
      <c r="I37" s="718">
        <f>huishoudens!H12</f>
        <v>0</v>
      </c>
      <c r="J37" s="718">
        <f>huishoudens!I12</f>
        <v>0</v>
      </c>
      <c r="K37" s="718">
        <f>huishoudens!J12</f>
        <v>320.79140268530659</v>
      </c>
      <c r="L37" s="718">
        <f>huishoudens!K12</f>
        <v>0</v>
      </c>
      <c r="M37" s="718">
        <f>huishoudens!L12</f>
        <v>0</v>
      </c>
      <c r="N37" s="718">
        <f>huishoudens!M12</f>
        <v>0</v>
      </c>
      <c r="O37" s="718">
        <f>huishoudens!N12</f>
        <v>0</v>
      </c>
      <c r="P37" s="718">
        <f>huishoudens!O12</f>
        <v>0</v>
      </c>
      <c r="Q37" s="828">
        <f>huishoudens!P12</f>
        <v>0</v>
      </c>
      <c r="R37" s="917">
        <f ca="1">SUM(C37:Q37)</f>
        <v>58467.80442473432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21226.81086730276</v>
      </c>
      <c r="D39" s="718">
        <f ca="1">industrie!C22</f>
        <v>0</v>
      </c>
      <c r="E39" s="718">
        <f>industrie!D22</f>
        <v>5349.2616514768288</v>
      </c>
      <c r="F39" s="718">
        <f>industrie!E22</f>
        <v>1766.0806925878844</v>
      </c>
      <c r="G39" s="718">
        <f>industrie!F22</f>
        <v>6844.7746613786621</v>
      </c>
      <c r="H39" s="718">
        <f>industrie!G22</f>
        <v>0</v>
      </c>
      <c r="I39" s="718">
        <f>industrie!H22</f>
        <v>0</v>
      </c>
      <c r="J39" s="718">
        <f>industrie!I22</f>
        <v>0</v>
      </c>
      <c r="K39" s="718">
        <f>industrie!J22</f>
        <v>97.66457365313704</v>
      </c>
      <c r="L39" s="718">
        <f>industrie!K22</f>
        <v>0</v>
      </c>
      <c r="M39" s="718">
        <f>industrie!L22</f>
        <v>0</v>
      </c>
      <c r="N39" s="718">
        <f>industrie!M22</f>
        <v>0</v>
      </c>
      <c r="O39" s="718">
        <f>industrie!N22</f>
        <v>0</v>
      </c>
      <c r="P39" s="718">
        <f>industrie!O22</f>
        <v>0</v>
      </c>
      <c r="Q39" s="828">
        <f>industrie!P22</f>
        <v>0</v>
      </c>
      <c r="R39" s="918">
        <f ca="1">SUM(C39:Q39)</f>
        <v>35284.592446399271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45878.999099585089</v>
      </c>
      <c r="D41" s="763">
        <f t="shared" ref="D41:R41" ca="1" si="4">SUM(D35:D40)</f>
        <v>0</v>
      </c>
      <c r="E41" s="763">
        <f t="shared" ca="1" si="4"/>
        <v>56481.566886151304</v>
      </c>
      <c r="F41" s="763">
        <f t="shared" si="4"/>
        <v>3056.377977372963</v>
      </c>
      <c r="G41" s="763">
        <f t="shared" ca="1" si="4"/>
        <v>22789.887932213896</v>
      </c>
      <c r="H41" s="763">
        <f t="shared" si="4"/>
        <v>0</v>
      </c>
      <c r="I41" s="763">
        <f t="shared" si="4"/>
        <v>0</v>
      </c>
      <c r="J41" s="763">
        <f t="shared" si="4"/>
        <v>0</v>
      </c>
      <c r="K41" s="763">
        <f t="shared" si="4"/>
        <v>418.49039147305774</v>
      </c>
      <c r="L41" s="763">
        <f t="shared" si="4"/>
        <v>0</v>
      </c>
      <c r="M41" s="763">
        <f t="shared" ca="1" si="4"/>
        <v>0</v>
      </c>
      <c r="N41" s="763">
        <f t="shared" si="4"/>
        <v>0</v>
      </c>
      <c r="O41" s="763">
        <f t="shared" ca="1" si="4"/>
        <v>0</v>
      </c>
      <c r="P41" s="763">
        <f t="shared" si="4"/>
        <v>0</v>
      </c>
      <c r="Q41" s="764">
        <f t="shared" si="4"/>
        <v>0</v>
      </c>
      <c r="R41" s="765">
        <f t="shared" ca="1" si="4"/>
        <v>128625.32228679629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883.00100636000582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883.00100636000582</v>
      </c>
    </row>
    <row r="45" spans="1:18" ht="15" thickBot="1">
      <c r="A45" s="888" t="s">
        <v>307</v>
      </c>
      <c r="B45" s="898"/>
      <c r="C45" s="727">
        <f ca="1">transport!B18</f>
        <v>19.421715654200021</v>
      </c>
      <c r="D45" s="727">
        <f>transport!C18</f>
        <v>0</v>
      </c>
      <c r="E45" s="727">
        <f>transport!D18</f>
        <v>65.069491953023075</v>
      </c>
      <c r="F45" s="727">
        <f>transport!E18</f>
        <v>102.6132876757775</v>
      </c>
      <c r="G45" s="727">
        <f>transport!F18</f>
        <v>0</v>
      </c>
      <c r="H45" s="727">
        <f>transport!G18</f>
        <v>46768.118856512097</v>
      </c>
      <c r="I45" s="727">
        <f>transport!H18</f>
        <v>9124.9723931347853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56080.195744929879</v>
      </c>
    </row>
    <row r="46" spans="1:18" ht="15.75" thickBot="1">
      <c r="A46" s="886" t="s">
        <v>230</v>
      </c>
      <c r="B46" s="899"/>
      <c r="C46" s="763">
        <f t="shared" ref="C46:R46" ca="1" si="5">SUM(C43:C45)</f>
        <v>19.421715654200021</v>
      </c>
      <c r="D46" s="763">
        <f t="shared" ca="1" si="5"/>
        <v>0</v>
      </c>
      <c r="E46" s="763">
        <f t="shared" si="5"/>
        <v>65.069491953023075</v>
      </c>
      <c r="F46" s="763">
        <f t="shared" si="5"/>
        <v>102.6132876757775</v>
      </c>
      <c r="G46" s="763">
        <f t="shared" si="5"/>
        <v>0</v>
      </c>
      <c r="H46" s="763">
        <f t="shared" si="5"/>
        <v>47651.119862872103</v>
      </c>
      <c r="I46" s="763">
        <f t="shared" si="5"/>
        <v>9124.9723931347853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56963.196751289885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541.87179462250788</v>
      </c>
      <c r="D48" s="718">
        <f ca="1">+landbouw!C12</f>
        <v>0</v>
      </c>
      <c r="E48" s="718">
        <f>+landbouw!D12</f>
        <v>1348.0529896995004</v>
      </c>
      <c r="F48" s="718">
        <f>+landbouw!E12</f>
        <v>17.15814190047616</v>
      </c>
      <c r="G48" s="718">
        <f>+landbouw!F12</f>
        <v>2860.3855404400024</v>
      </c>
      <c r="H48" s="718">
        <f>+landbouw!G12</f>
        <v>0</v>
      </c>
      <c r="I48" s="718">
        <f>+landbouw!H12</f>
        <v>0</v>
      </c>
      <c r="J48" s="718">
        <f>+landbouw!I12</f>
        <v>0</v>
      </c>
      <c r="K48" s="718">
        <f>+landbouw!J12</f>
        <v>131.88850862520943</v>
      </c>
      <c r="L48" s="718">
        <f>+landbouw!K12</f>
        <v>0</v>
      </c>
      <c r="M48" s="718">
        <f>+landbouw!L12</f>
        <v>0</v>
      </c>
      <c r="N48" s="718">
        <f>+landbouw!M12</f>
        <v>0</v>
      </c>
      <c r="O48" s="718">
        <f>+landbouw!N12</f>
        <v>0</v>
      </c>
      <c r="P48" s="718">
        <f>+landbouw!O12</f>
        <v>0</v>
      </c>
      <c r="Q48" s="719">
        <f>+landbouw!P12</f>
        <v>0</v>
      </c>
      <c r="R48" s="761">
        <f ca="1">SUM(C48:Q48)</f>
        <v>4899.3569752876965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46440.292609861797</v>
      </c>
      <c r="D53" s="773">
        <f t="shared" ref="D53:Q53" ca="1" si="6">D41+D46+D48</f>
        <v>0</v>
      </c>
      <c r="E53" s="773">
        <f t="shared" ca="1" si="6"/>
        <v>57894.689367803825</v>
      </c>
      <c r="F53" s="773">
        <f t="shared" si="6"/>
        <v>3176.1494069492164</v>
      </c>
      <c r="G53" s="773">
        <f t="shared" ca="1" si="6"/>
        <v>25650.273472653898</v>
      </c>
      <c r="H53" s="773">
        <f t="shared" si="6"/>
        <v>47651.119862872103</v>
      </c>
      <c r="I53" s="773">
        <f t="shared" si="6"/>
        <v>9124.9723931347853</v>
      </c>
      <c r="J53" s="773">
        <f t="shared" si="6"/>
        <v>0</v>
      </c>
      <c r="K53" s="773">
        <f t="shared" si="6"/>
        <v>550.3789000982672</v>
      </c>
      <c r="L53" s="773">
        <f t="shared" si="6"/>
        <v>0</v>
      </c>
      <c r="M53" s="773">
        <f t="shared" ca="1" si="6"/>
        <v>0</v>
      </c>
      <c r="N53" s="773">
        <f t="shared" si="6"/>
        <v>0</v>
      </c>
      <c r="O53" s="773">
        <f t="shared" ca="1" si="6"/>
        <v>0</v>
      </c>
      <c r="P53" s="773">
        <f>P41+P46+P48</f>
        <v>0</v>
      </c>
      <c r="Q53" s="774">
        <f t="shared" si="6"/>
        <v>0</v>
      </c>
      <c r="R53" s="775">
        <f ca="1">R41+R46+R48</f>
        <v>190487.87601337387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0.21071568560684628</v>
      </c>
      <c r="D55" s="836">
        <f t="shared" ca="1" si="7"/>
        <v>0</v>
      </c>
      <c r="E55" s="836">
        <f t="shared" ca="1" si="7"/>
        <v>0.20200000000000004</v>
      </c>
      <c r="F55" s="836">
        <f t="shared" si="7"/>
        <v>0.22700000000000001</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10256.074168474039</v>
      </c>
      <c r="C66" s="795">
        <f>'lokale energieproductie'!B6</f>
        <v>10256.074168474039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10256.074168474039</v>
      </c>
      <c r="C69" s="803">
        <f>SUM(C64:C68)</f>
        <v>10256.074168474039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52471.556997870459</v>
      </c>
      <c r="C4" s="478">
        <f>huishoudens!C8</f>
        <v>0</v>
      </c>
      <c r="D4" s="478">
        <f>huishoudens!D8</f>
        <v>162302.80082755015</v>
      </c>
      <c r="E4" s="478">
        <f>huishoudens!E8</f>
        <v>5002.2238747257579</v>
      </c>
      <c r="F4" s="478">
        <f>huishoudens!F8</f>
        <v>49324.952538038022</v>
      </c>
      <c r="G4" s="478">
        <f>huishoudens!G8</f>
        <v>0</v>
      </c>
      <c r="H4" s="478">
        <f>huishoudens!H8</f>
        <v>0</v>
      </c>
      <c r="I4" s="478">
        <f>huishoudens!I8</f>
        <v>0</v>
      </c>
      <c r="J4" s="478">
        <f>huishoudens!J8</f>
        <v>906.19040306583793</v>
      </c>
      <c r="K4" s="478">
        <f>huishoudens!K8</f>
        <v>0</v>
      </c>
      <c r="L4" s="478">
        <f>huishoudens!L8</f>
        <v>0</v>
      </c>
      <c r="M4" s="478">
        <f>huishoudens!M8</f>
        <v>0</v>
      </c>
      <c r="N4" s="478">
        <f>huishoudens!N8</f>
        <v>10607.213500332768</v>
      </c>
      <c r="O4" s="478">
        <f>huishoudens!O8</f>
        <v>318.92</v>
      </c>
      <c r="P4" s="479">
        <f>huishoudens!P8</f>
        <v>762.66666666666674</v>
      </c>
      <c r="Q4" s="480">
        <f>SUM(B4:P4)</f>
        <v>281696.52480824967</v>
      </c>
    </row>
    <row r="5" spans="1:17">
      <c r="A5" s="477" t="s">
        <v>156</v>
      </c>
      <c r="B5" s="478">
        <f ca="1">tertiair!B16</f>
        <v>62136.24343325568</v>
      </c>
      <c r="C5" s="478">
        <f ca="1">tertiair!C16</f>
        <v>0</v>
      </c>
      <c r="D5" s="478">
        <f ca="1">tertiair!D16</f>
        <v>90827.423106481874</v>
      </c>
      <c r="E5" s="478">
        <f>tertiair!E16</f>
        <v>681.90513313802444</v>
      </c>
      <c r="F5" s="478">
        <f ca="1">tertiair!F16</f>
        <v>10394.572820895432</v>
      </c>
      <c r="G5" s="478">
        <f>tertiair!G16</f>
        <v>0</v>
      </c>
      <c r="H5" s="478">
        <f>tertiair!H16</f>
        <v>0</v>
      </c>
      <c r="I5" s="478">
        <f>tertiair!I16</f>
        <v>0</v>
      </c>
      <c r="J5" s="478">
        <f>tertiair!J16</f>
        <v>9.721789439007951E-2</v>
      </c>
      <c r="K5" s="478">
        <f>tertiair!K16</f>
        <v>0</v>
      </c>
      <c r="L5" s="478">
        <f ca="1">tertiair!L16</f>
        <v>0</v>
      </c>
      <c r="M5" s="478">
        <f>tertiair!M16</f>
        <v>0</v>
      </c>
      <c r="N5" s="478">
        <f ca="1">tertiair!N16</f>
        <v>3986.6518218187093</v>
      </c>
      <c r="O5" s="478">
        <f>tertiair!O16</f>
        <v>3.1266666666666669</v>
      </c>
      <c r="P5" s="479">
        <f>tertiair!P16</f>
        <v>152.53333333333333</v>
      </c>
      <c r="Q5" s="477">
        <f t="shared" ref="Q5:Q13" ca="1" si="0">SUM(B5:P5)</f>
        <v>168182.55353348411</v>
      </c>
    </row>
    <row r="6" spans="1:17">
      <c r="A6" s="477" t="s">
        <v>194</v>
      </c>
      <c r="B6" s="478">
        <f>'openbare verlichting'!B8</f>
        <v>2384.8580000000002</v>
      </c>
      <c r="C6" s="478"/>
      <c r="D6" s="478"/>
      <c r="E6" s="478"/>
      <c r="F6" s="478"/>
      <c r="G6" s="478"/>
      <c r="H6" s="478"/>
      <c r="I6" s="478"/>
      <c r="J6" s="478"/>
      <c r="K6" s="478"/>
      <c r="L6" s="478"/>
      <c r="M6" s="478"/>
      <c r="N6" s="478"/>
      <c r="O6" s="478"/>
      <c r="P6" s="479"/>
      <c r="Q6" s="477">
        <f t="shared" si="0"/>
        <v>2384.8580000000002</v>
      </c>
    </row>
    <row r="7" spans="1:17">
      <c r="A7" s="477" t="s">
        <v>112</v>
      </c>
      <c r="B7" s="478">
        <f>landbouw!B8</f>
        <v>2571.5778731040145</v>
      </c>
      <c r="C7" s="478">
        <f>landbouw!C8</f>
        <v>0</v>
      </c>
      <c r="D7" s="478">
        <f>landbouw!D8</f>
        <v>6673.5296519777239</v>
      </c>
      <c r="E7" s="478">
        <f>landbouw!E8</f>
        <v>75.586528195930214</v>
      </c>
      <c r="F7" s="478">
        <f>landbouw!F8</f>
        <v>10713.054458576788</v>
      </c>
      <c r="G7" s="478">
        <f>landbouw!G8</f>
        <v>0</v>
      </c>
      <c r="H7" s="478">
        <f>landbouw!H8</f>
        <v>0</v>
      </c>
      <c r="I7" s="478">
        <f>landbouw!I8</f>
        <v>0</v>
      </c>
      <c r="J7" s="478">
        <f>landbouw!J8</f>
        <v>372.56640854578933</v>
      </c>
      <c r="K7" s="478">
        <f>landbouw!K8</f>
        <v>0</v>
      </c>
      <c r="L7" s="478">
        <f>landbouw!L8</f>
        <v>0</v>
      </c>
      <c r="M7" s="478">
        <f>landbouw!M8</f>
        <v>0</v>
      </c>
      <c r="N7" s="478">
        <f>landbouw!N8</f>
        <v>0</v>
      </c>
      <c r="O7" s="478">
        <f>landbouw!O8</f>
        <v>0</v>
      </c>
      <c r="P7" s="479">
        <f>landbouw!P8</f>
        <v>0</v>
      </c>
      <c r="Q7" s="477">
        <f t="shared" si="0"/>
        <v>20406.314920400248</v>
      </c>
    </row>
    <row r="8" spans="1:17">
      <c r="A8" s="477" t="s">
        <v>635</v>
      </c>
      <c r="B8" s="478">
        <f>industrie!B18</f>
        <v>100736.73825548889</v>
      </c>
      <c r="C8" s="478">
        <f>industrie!C18</f>
        <v>0</v>
      </c>
      <c r="D8" s="478">
        <f>industrie!D18</f>
        <v>26481.493324142713</v>
      </c>
      <c r="E8" s="478">
        <f>industrie!E18</f>
        <v>7780.0911567748208</v>
      </c>
      <c r="F8" s="478">
        <f>industrie!F18</f>
        <v>25635.860154976261</v>
      </c>
      <c r="G8" s="478">
        <f>industrie!G18</f>
        <v>0</v>
      </c>
      <c r="H8" s="478">
        <f>industrie!H18</f>
        <v>0</v>
      </c>
      <c r="I8" s="478">
        <f>industrie!I18</f>
        <v>0</v>
      </c>
      <c r="J8" s="478">
        <f>industrie!J18</f>
        <v>275.88862613880519</v>
      </c>
      <c r="K8" s="478">
        <f>industrie!K18</f>
        <v>0</v>
      </c>
      <c r="L8" s="478">
        <f>industrie!L18</f>
        <v>0</v>
      </c>
      <c r="M8" s="478">
        <f>industrie!M18</f>
        <v>0</v>
      </c>
      <c r="N8" s="478">
        <f>industrie!N18</f>
        <v>22068.78047732437</v>
      </c>
      <c r="O8" s="478">
        <f>industrie!O18</f>
        <v>0</v>
      </c>
      <c r="P8" s="479">
        <f>industrie!P18</f>
        <v>0</v>
      </c>
      <c r="Q8" s="477">
        <f t="shared" si="0"/>
        <v>182978.85199484584</v>
      </c>
    </row>
    <row r="9" spans="1:17" s="483" customFormat="1">
      <c r="A9" s="481" t="s">
        <v>561</v>
      </c>
      <c r="B9" s="482">
        <f>transport!B14</f>
        <v>92.170241613797543</v>
      </c>
      <c r="C9" s="482">
        <f>transport!C14</f>
        <v>0</v>
      </c>
      <c r="D9" s="482">
        <f>transport!D14</f>
        <v>322.12619778724292</v>
      </c>
      <c r="E9" s="482">
        <f>transport!E14</f>
        <v>452.04091487126652</v>
      </c>
      <c r="F9" s="482">
        <f>transport!F14</f>
        <v>0</v>
      </c>
      <c r="G9" s="482">
        <f>transport!G14</f>
        <v>175161.4938446146</v>
      </c>
      <c r="H9" s="482">
        <f>transport!H14</f>
        <v>36646.475474436891</v>
      </c>
      <c r="I9" s="482">
        <f>transport!I14</f>
        <v>0</v>
      </c>
      <c r="J9" s="482">
        <f>transport!J14</f>
        <v>0</v>
      </c>
      <c r="K9" s="482">
        <f>transport!K14</f>
        <v>0</v>
      </c>
      <c r="L9" s="482">
        <f>transport!L14</f>
        <v>0</v>
      </c>
      <c r="M9" s="482">
        <f>transport!M14</f>
        <v>11321.580456053223</v>
      </c>
      <c r="N9" s="482">
        <f>transport!N14</f>
        <v>0</v>
      </c>
      <c r="O9" s="482">
        <f>transport!O14</f>
        <v>0</v>
      </c>
      <c r="P9" s="482">
        <f>transport!P14</f>
        <v>0</v>
      </c>
      <c r="Q9" s="481">
        <f>SUM(B9:P9)</f>
        <v>223995.88712937702</v>
      </c>
    </row>
    <row r="10" spans="1:17">
      <c r="A10" s="477" t="s">
        <v>551</v>
      </c>
      <c r="B10" s="478">
        <f>transport!B54</f>
        <v>0</v>
      </c>
      <c r="C10" s="478">
        <f>transport!C54</f>
        <v>0</v>
      </c>
      <c r="D10" s="478">
        <f>transport!D54</f>
        <v>0</v>
      </c>
      <c r="E10" s="478">
        <f>transport!E54</f>
        <v>0</v>
      </c>
      <c r="F10" s="478">
        <f>transport!F54</f>
        <v>0</v>
      </c>
      <c r="G10" s="478">
        <f>transport!G54</f>
        <v>3307.1198740075124</v>
      </c>
      <c r="H10" s="478">
        <f>transport!H54</f>
        <v>0</v>
      </c>
      <c r="I10" s="478">
        <f>transport!I54</f>
        <v>0</v>
      </c>
      <c r="J10" s="478">
        <f>transport!J54</f>
        <v>0</v>
      </c>
      <c r="K10" s="478">
        <f>transport!K54</f>
        <v>0</v>
      </c>
      <c r="L10" s="478">
        <f>transport!L54</f>
        <v>0</v>
      </c>
      <c r="M10" s="478">
        <f>transport!M54</f>
        <v>187.82980931032995</v>
      </c>
      <c r="N10" s="478">
        <f>transport!N54</f>
        <v>0</v>
      </c>
      <c r="O10" s="478">
        <f>transport!O54</f>
        <v>0</v>
      </c>
      <c r="P10" s="479">
        <f>transport!P54</f>
        <v>0</v>
      </c>
      <c r="Q10" s="477">
        <f t="shared" si="0"/>
        <v>3494.9496833178423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220393.14480133285</v>
      </c>
      <c r="C14" s="488">
        <f t="shared" ref="C14:Q14" ca="1" si="1">SUM(C4:C13)</f>
        <v>0</v>
      </c>
      <c r="D14" s="488">
        <f t="shared" ca="1" si="1"/>
        <v>286607.37310793973</v>
      </c>
      <c r="E14" s="488">
        <f t="shared" si="1"/>
        <v>13991.847607705799</v>
      </c>
      <c r="F14" s="488">
        <f t="shared" ca="1" si="1"/>
        <v>96068.439972486492</v>
      </c>
      <c r="G14" s="488">
        <f t="shared" si="1"/>
        <v>178468.6137186221</v>
      </c>
      <c r="H14" s="488">
        <f t="shared" si="1"/>
        <v>36646.475474436891</v>
      </c>
      <c r="I14" s="488">
        <f t="shared" si="1"/>
        <v>0</v>
      </c>
      <c r="J14" s="488">
        <f t="shared" si="1"/>
        <v>1554.7426556448224</v>
      </c>
      <c r="K14" s="488">
        <f t="shared" si="1"/>
        <v>0</v>
      </c>
      <c r="L14" s="488">
        <f t="shared" ca="1" si="1"/>
        <v>0</v>
      </c>
      <c r="M14" s="488">
        <f t="shared" si="1"/>
        <v>11509.410265363553</v>
      </c>
      <c r="N14" s="488">
        <f t="shared" ca="1" si="1"/>
        <v>36662.645799475846</v>
      </c>
      <c r="O14" s="488">
        <f t="shared" si="1"/>
        <v>322.04666666666668</v>
      </c>
      <c r="P14" s="489">
        <f t="shared" si="1"/>
        <v>915.2</v>
      </c>
      <c r="Q14" s="489">
        <f t="shared" ca="1" si="1"/>
        <v>883139.94006967475</v>
      </c>
    </row>
    <row r="16" spans="1:17">
      <c r="A16" s="491" t="s">
        <v>556</v>
      </c>
      <c r="B16" s="841">
        <f ca="1">huishoudens!B10</f>
        <v>0.21071568560684625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11056.580107664986</v>
      </c>
      <c r="C21" s="478">
        <f t="shared" ref="C21:C30" ca="1" si="3">C4*$C$16</f>
        <v>0</v>
      </c>
      <c r="D21" s="478">
        <f t="shared" ref="D21:D30" si="4">D4*$D$16</f>
        <v>32785.165767165134</v>
      </c>
      <c r="E21" s="478">
        <f t="shared" ref="E21:E30" si="5">E4*$E$16</f>
        <v>1135.5048195627471</v>
      </c>
      <c r="F21" s="478">
        <f t="shared" ref="F21:F30" si="6">F4*$F$16</f>
        <v>13169.762327656152</v>
      </c>
      <c r="G21" s="478">
        <f t="shared" ref="G21:G30" si="7">G4*$G$16</f>
        <v>0</v>
      </c>
      <c r="H21" s="478">
        <f t="shared" ref="H21:H30" si="8">H4*$H$16</f>
        <v>0</v>
      </c>
      <c r="I21" s="478">
        <f t="shared" ref="I21:I30" si="9">I4*$I$16</f>
        <v>0</v>
      </c>
      <c r="J21" s="478">
        <f t="shared" ref="J21:J30" si="10">J4*$J$16</f>
        <v>320.79140268530659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58467.80442473432</v>
      </c>
    </row>
    <row r="22" spans="1:17">
      <c r="A22" s="477" t="s">
        <v>156</v>
      </c>
      <c r="B22" s="478">
        <f t="shared" ca="1" si="2"/>
        <v>13093.081136072369</v>
      </c>
      <c r="C22" s="478">
        <f t="shared" ca="1" si="3"/>
        <v>0</v>
      </c>
      <c r="D22" s="478">
        <f t="shared" ca="1" si="4"/>
        <v>18347.13946750934</v>
      </c>
      <c r="E22" s="478">
        <f t="shared" si="5"/>
        <v>154.79246522233154</v>
      </c>
      <c r="F22" s="478">
        <f t="shared" ca="1" si="6"/>
        <v>2775.3509431790803</v>
      </c>
      <c r="G22" s="478">
        <f t="shared" si="7"/>
        <v>0</v>
      </c>
      <c r="H22" s="478">
        <f t="shared" si="8"/>
        <v>0</v>
      </c>
      <c r="I22" s="478">
        <f t="shared" si="9"/>
        <v>0</v>
      </c>
      <c r="J22" s="478">
        <f t="shared" si="10"/>
        <v>3.4415134614088141E-2</v>
      </c>
      <c r="K22" s="478">
        <f t="shared" si="11"/>
        <v>0</v>
      </c>
      <c r="L22" s="478">
        <f t="shared" ca="1" si="12"/>
        <v>0</v>
      </c>
      <c r="M22" s="478">
        <f t="shared" si="13"/>
        <v>0</v>
      </c>
      <c r="N22" s="478">
        <f t="shared" ca="1" si="14"/>
        <v>0</v>
      </c>
      <c r="O22" s="478">
        <f t="shared" si="15"/>
        <v>0</v>
      </c>
      <c r="P22" s="479">
        <f t="shared" si="16"/>
        <v>0</v>
      </c>
      <c r="Q22" s="477">
        <f t="shared" ref="Q22:Q30" ca="1" si="17">SUM(B22:P22)</f>
        <v>34370.398427117732</v>
      </c>
    </row>
    <row r="23" spans="1:17">
      <c r="A23" s="477" t="s">
        <v>194</v>
      </c>
      <c r="B23" s="478">
        <f t="shared" ca="1" si="2"/>
        <v>502.5269885449722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502.5269885449722</v>
      </c>
    </row>
    <row r="24" spans="1:17">
      <c r="A24" s="477" t="s">
        <v>112</v>
      </c>
      <c r="B24" s="478">
        <f t="shared" ca="1" si="2"/>
        <v>541.87179462250788</v>
      </c>
      <c r="C24" s="478">
        <f t="shared" ca="1" si="3"/>
        <v>0</v>
      </c>
      <c r="D24" s="478">
        <f t="shared" si="4"/>
        <v>1348.0529896995004</v>
      </c>
      <c r="E24" s="478">
        <f t="shared" si="5"/>
        <v>17.15814190047616</v>
      </c>
      <c r="F24" s="478">
        <f t="shared" si="6"/>
        <v>2860.3855404400024</v>
      </c>
      <c r="G24" s="478">
        <f t="shared" si="7"/>
        <v>0</v>
      </c>
      <c r="H24" s="478">
        <f t="shared" si="8"/>
        <v>0</v>
      </c>
      <c r="I24" s="478">
        <f t="shared" si="9"/>
        <v>0</v>
      </c>
      <c r="J24" s="478">
        <f t="shared" si="10"/>
        <v>131.88850862520943</v>
      </c>
      <c r="K24" s="478">
        <f t="shared" si="11"/>
        <v>0</v>
      </c>
      <c r="L24" s="478">
        <f t="shared" si="12"/>
        <v>0</v>
      </c>
      <c r="M24" s="478">
        <f t="shared" si="13"/>
        <v>0</v>
      </c>
      <c r="N24" s="478">
        <f t="shared" si="14"/>
        <v>0</v>
      </c>
      <c r="O24" s="478">
        <f t="shared" si="15"/>
        <v>0</v>
      </c>
      <c r="P24" s="479">
        <f t="shared" si="16"/>
        <v>0</v>
      </c>
      <c r="Q24" s="477">
        <f t="shared" ca="1" si="17"/>
        <v>4899.3569752876965</v>
      </c>
    </row>
    <row r="25" spans="1:17">
      <c r="A25" s="477" t="s">
        <v>635</v>
      </c>
      <c r="B25" s="478">
        <f t="shared" ca="1" si="2"/>
        <v>21226.81086730276</v>
      </c>
      <c r="C25" s="478">
        <f t="shared" ca="1" si="3"/>
        <v>0</v>
      </c>
      <c r="D25" s="478">
        <f t="shared" si="4"/>
        <v>5349.2616514768288</v>
      </c>
      <c r="E25" s="478">
        <f t="shared" si="5"/>
        <v>1766.0806925878844</v>
      </c>
      <c r="F25" s="478">
        <f t="shared" si="6"/>
        <v>6844.7746613786621</v>
      </c>
      <c r="G25" s="478">
        <f t="shared" si="7"/>
        <v>0</v>
      </c>
      <c r="H25" s="478">
        <f t="shared" si="8"/>
        <v>0</v>
      </c>
      <c r="I25" s="478">
        <f t="shared" si="9"/>
        <v>0</v>
      </c>
      <c r="J25" s="478">
        <f t="shared" si="10"/>
        <v>97.66457365313704</v>
      </c>
      <c r="K25" s="478">
        <f t="shared" si="11"/>
        <v>0</v>
      </c>
      <c r="L25" s="478">
        <f t="shared" si="12"/>
        <v>0</v>
      </c>
      <c r="M25" s="478">
        <f t="shared" si="13"/>
        <v>0</v>
      </c>
      <c r="N25" s="478">
        <f t="shared" si="14"/>
        <v>0</v>
      </c>
      <c r="O25" s="478">
        <f t="shared" si="15"/>
        <v>0</v>
      </c>
      <c r="P25" s="479">
        <f t="shared" si="16"/>
        <v>0</v>
      </c>
      <c r="Q25" s="477">
        <f t="shared" ca="1" si="17"/>
        <v>35284.592446399271</v>
      </c>
    </row>
    <row r="26" spans="1:17" s="483" customFormat="1">
      <c r="A26" s="481" t="s">
        <v>561</v>
      </c>
      <c r="B26" s="835">
        <f t="shared" ca="1" si="2"/>
        <v>19.421715654200021</v>
      </c>
      <c r="C26" s="482">
        <f t="shared" ca="1" si="3"/>
        <v>0</v>
      </c>
      <c r="D26" s="482">
        <f t="shared" si="4"/>
        <v>65.069491953023075</v>
      </c>
      <c r="E26" s="482">
        <f t="shared" si="5"/>
        <v>102.6132876757775</v>
      </c>
      <c r="F26" s="482">
        <f t="shared" si="6"/>
        <v>0</v>
      </c>
      <c r="G26" s="482">
        <f t="shared" si="7"/>
        <v>46768.118856512097</v>
      </c>
      <c r="H26" s="482">
        <f t="shared" si="8"/>
        <v>9124.9723931347853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56080.195744929879</v>
      </c>
    </row>
    <row r="27" spans="1:17">
      <c r="A27" s="477" t="s">
        <v>551</v>
      </c>
      <c r="B27" s="478">
        <f t="shared" ca="1" si="2"/>
        <v>0</v>
      </c>
      <c r="C27" s="478">
        <f t="shared" ca="1" si="3"/>
        <v>0</v>
      </c>
      <c r="D27" s="478">
        <f t="shared" si="4"/>
        <v>0</v>
      </c>
      <c r="E27" s="478">
        <f t="shared" si="5"/>
        <v>0</v>
      </c>
      <c r="F27" s="478">
        <f t="shared" si="6"/>
        <v>0</v>
      </c>
      <c r="G27" s="478">
        <f t="shared" si="7"/>
        <v>883.00100636000582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883.00100636000582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46440.29260986179</v>
      </c>
      <c r="C31" s="488">
        <f t="shared" ca="1" si="18"/>
        <v>0</v>
      </c>
      <c r="D31" s="488">
        <f t="shared" ca="1" si="18"/>
        <v>57894.689367803825</v>
      </c>
      <c r="E31" s="488">
        <f t="shared" si="18"/>
        <v>3176.1494069492169</v>
      </c>
      <c r="F31" s="488">
        <f t="shared" ca="1" si="18"/>
        <v>25650.273472653898</v>
      </c>
      <c r="G31" s="488">
        <f t="shared" si="18"/>
        <v>47651.119862872103</v>
      </c>
      <c r="H31" s="488">
        <f t="shared" si="18"/>
        <v>9124.9723931347853</v>
      </c>
      <c r="I31" s="488">
        <f t="shared" si="18"/>
        <v>0</v>
      </c>
      <c r="J31" s="488">
        <f t="shared" si="18"/>
        <v>550.3789000982672</v>
      </c>
      <c r="K31" s="488">
        <f t="shared" si="18"/>
        <v>0</v>
      </c>
      <c r="L31" s="488">
        <f t="shared" ca="1" si="18"/>
        <v>0</v>
      </c>
      <c r="M31" s="488">
        <f t="shared" si="18"/>
        <v>0</v>
      </c>
      <c r="N31" s="488">
        <f t="shared" ca="1" si="18"/>
        <v>0</v>
      </c>
      <c r="O31" s="488">
        <f t="shared" si="18"/>
        <v>0</v>
      </c>
      <c r="P31" s="489">
        <f t="shared" si="18"/>
        <v>0</v>
      </c>
      <c r="Q31" s="489">
        <f t="shared" ca="1" si="18"/>
        <v>190487.87601337387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0.21071568560684625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0.21071568560684625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0.21071568560684625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2018-09-06T12:47:19Z</dcterms:modified>
</cp:coreProperties>
</file>