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<sst xmlns="http://schemas.openxmlformats.org/spreadsheetml/2006/main" count="1914" uniqueCount="809">
  <si>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</si>
  <si>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</si>
  <si>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</si>
  <si>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</si>
  <si>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</si>
  <si>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</si>
  <si>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</si>
  <si>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</si>
  <si>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</si>
  <si>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</si>
  <si>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</si>
  <si>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</si>
  <si>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</si>
  <si>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</si>
  <si>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</si>
  <si>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</si>
  <si>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</si>
  <si>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</si>
  <si>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</si>
  <si>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</si>
  <si>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</si>
  <si>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</si>
  <si>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</si>
  <si>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</si>
  <si>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</si>
  <si>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</si>
  <si>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</si>
  <si>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</si>
  <si>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</si>
  <si>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</si>
  <si>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</si>
  <si>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</si>
  <si>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</si>
  <si>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</si>
  <si>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</si>
  <si>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</si>
  <si>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</si>
  <si>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</si>
  <si>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</si>
  <si>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</si>
  <si>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</si>
  <si>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</si>
  <si>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</si>
  <si>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</si>
  <si>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</si>
  <si>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</si>
  <si>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</si>
  <si>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</si>
  <si>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</si>
  <si>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</si>
  <si>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</si>
  <si>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</si>
  <si>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</si>
  <si>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</si>
  <si>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</si>
  <si>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</si>
  <si>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</si>
  <si>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</si>
  <si>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</si>
  <si>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</si>
  <si>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</si>
  <si>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</si>
  <si>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</si>
  <si>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</si>
  <si>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</si>
  <si>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</si>
  <si>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</si>
  <si>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</si>
  <si>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</si>
  <si>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</si>
  <si>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</si>
  <si>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</si>
  <si>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</si>
  <si>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</si>
  <si>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</si>
  <si>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</si>
  <si>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</si>
  <si>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</si>
  <si>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</si>
  <si>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</si>
  <si>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</si>
  <si>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</si>
  <si>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</si>
  <si>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</si>
  <si>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</si>
  <si>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</si>
  <si>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</si>
  <si>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</si>
  <si>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</si>
  <si>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</si>
  <si>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</si>
  <si>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</si>
  <si>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</si>
  <si>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</si>
  <si>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</si>
  <si>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</si>
  <si>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</si>
  <si>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</si>
  <si>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</si>
  <si>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</si>
  <si>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</si>
  <si>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</si>
  <si>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</si>
  <si>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</si>
  <si>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</si>
  <si>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</si>
  <si>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</si>
  <si>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</si>
  <si>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</si>
  <si>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</si>
  <si>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</si>
  <si>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</si>
  <si>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</si>
  <si>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</si>
  <si>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</si>
  <si>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</si>
  <si>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</si>
  <si>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</si>
  <si>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</si>
  <si>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</si>
  <si>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</si>
  <si>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</si>
  <si>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</si>
  <si>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</si>
  <si>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</si>
  <si>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</si>
  <si>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</si>
  <si>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</si>
  <si>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</si>
  <si>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</si>
  <si>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</si>
  <si>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</si>
  <si>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</si>
  <si>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</si>
  <si>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</si>
  <si>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</si>
  <si>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</si>
  <si>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</si>
  <si>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</si>
  <si>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</si>
  <si>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</si>
  <si>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</si>
  <si>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</si>
  <si>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</si>
  <si>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</si>
  <si>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</si>
  <si>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</si>
  <si>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</si>
  <si>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</si>
  <si>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</si>
  <si>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</si>
  <si>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</si>
  <si>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</si>
  <si>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</si>
  <si>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</si>
  <si>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</si>
  <si>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</si>
  <si>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</si>
  <si>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</si>
  <si>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</si>
  <si>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</si>
  <si>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</si>
  <si>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</si>
  <si>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</si>
  <si>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</si>
  <si>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</si>
  <si>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</si>
  <si>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</si>
  <si>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</si>
  <si>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</si>
  <si>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</si>
  <si>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</si>
  <si>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</si>
  <si>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</si>
  <si>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</si>
  <si>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</si>
  <si>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</si>
  <si>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</si>
  <si>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</si>
  <si>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</si>
  <si>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</si>
  <si>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</si>
  <si>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</si>
  <si>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</si>
  <si>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</si>
  <si>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</si>
  <si>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</si>
  <si>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</si>
  <si>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</si>
  <si>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</si>
  <si>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</si>
  <si>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</si>
  <si>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</si>
  <si>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</si>
  <si>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</si>
  <si>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</si>
  <si>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</si>
  <si>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</si>
  <si>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</si>
  <si>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</si>
  <si>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</si>
  <si>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</si>
  <si>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</si>
  <si>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</si>
  <si>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</si>
  <si>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</si>
  <si>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</si>
  <si>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</si>
  <si>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</si>
  <si>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</si>
  <si>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</si>
  <si>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</si>
  <si>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</si>
  <si>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</si>
  <si>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</si>
  <si>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</si>
  <si>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</si>
  <si>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</si>
  <si>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</si>
  <si>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</si>
  <si>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</si>
  <si>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</si>
  <si>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</si>
  <si>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</si>
  <si>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</si>
  <si>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</si>
  <si>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</si>
  <si>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</si>
  <si>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</si>
  <si>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</si>
  <si>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</si>
  <si>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</si>
  <si>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</si>
  <si>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</si>
  <si>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</si>
  <si>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</si>
  <si>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</si>
  <si>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</si>
  <si>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</si>
  <si>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</si>
  <si>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</si>
  <si>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</si>
  <si>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</si>
  <si>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</si>
  <si>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</si>
  <si>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</si>
  <si>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</si>
  <si>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</si>
  <si>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</si>
  <si>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</si>
  <si>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</si>
  <si>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</si>
  <si>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</si>
  <si>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</si>
  <si>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</si>
  <si>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</si>
  <si>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</si>
  <si>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</si>
  <si>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</si>
  <si>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</si>
  <si>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</si>
  <si>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</si>
  <si>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</si>
  <si>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</si>
  <si>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</si>
  <si>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</si>
  <si>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</si>
  <si>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</si>
  <si>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</si>
  <si>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</si>
  <si>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</si>
  <si>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</si>
  <si>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</si>
  <si>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</si>
  <si>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</si>
  <si>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</si>
  <si>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</si>
  <si>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</si>
  <si>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</si>
  <si>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</si>
  <si>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</si>
  <si>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</si>
  <si>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</si>
  <si>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</si>
  <si>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</si>
  <si>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</si>
  <si>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</si>
  <si>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</si>
  <si>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</si>
  <si>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</si>
  <si>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</si>
  <si>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</si>
  <si>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</si>
  <si>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</si>
  <si>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</si>
  <si>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</si>
  <si>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</si>
  <si>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</si>
  <si>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</si>
  <si>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</si>
  <si>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</si>
  <si>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</si>
  <si>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</si>
  <si>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</si>
  <si>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</si>
  <si>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</si>
  <si>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</si>
  <si>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</si>
  <si>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</si>
  <si>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</si>
  <si>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</si>
  <si>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</si>
  <si>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</si>
  <si>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</si>
  <si>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</si>
  <si>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</si>
  <si>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</si>
  <si>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</si>
  <si>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</si>
  <si>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</si>
  <si>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</si>
  <si>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</si>
  <si>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</si>
  <si>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</si>
  <si>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</si>
  <si>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</si>
  <si>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</si>
  <si>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</si>
  <si>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</si>
  <si>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</si>
  <si>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</si>
  <si>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</si>
  <si>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</si>
  <si>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</si>
  <si>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</si>
  <si>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</si>
  <si>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</si>
  <si>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</si>
  <si>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</si>
  <si>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</si>
  <si>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</si>
  <si>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</si>
  <si>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</si>
  <si>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</si>
  <si>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</si>
  <si>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</si>
  <si>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</si>
  <si>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</si>
  <si>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</si>
  <si>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</si>
  <si>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</si>
  <si>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</si>
  <si>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</si>
  <si>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</si>
  <si>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</si>
  <si>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</si>
  <si>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</si>
  <si>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</si>
  <si>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</si>
  <si>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</si>
  <si>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</si>
  <si>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</si>
  <si>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</si>
  <si>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</si>
  <si>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</si>
  <si>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</si>
  <si>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</si>
  <si>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</si>
  <si>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</si>
  <si>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</si>
  <si>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</si>
  <si>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</si>
  <si>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</si>
  <si>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</si>
  <si>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</si>
  <si>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</si>
  <si>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</si>
  <si>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</si>
  <si>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</si>
  <si>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</si>
  <si>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</si>
  <si>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</si>
  <si>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</si>
  <si>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</si>
  <si>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</si>
  <si>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</si>
  <si>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</si>
  <si>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</si>
  <si>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</si>
  <si>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</si>
  <si>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</si>
  <si>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</si>
  <si>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</si>
  <si>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</si>
  <si>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</si>
  <si>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</si>
  <si>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</si>
  <si>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</si>
  <si>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</si>
  <si>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</si>
  <si>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</si>
  <si>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</si>
  <si>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</si>
  <si>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</si>
  <si>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</si>
  <si>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</si>
  <si>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</si>
  <si>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</si>
  <si>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</si>
  <si>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</si>
  <si>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</si>
  <si>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</si>
  <si>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</si>
  <si>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</si>
  <si>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</si>
  <si>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</si>
  <si>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</si>
  <si>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</si>
  <si>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</si>
  <si>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</si>
  <si>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</si>
  <si>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</si>
  <si>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</si>
  <si>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</si>
  <si>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</si>
  <si>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</si>
  <si>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</si>
  <si>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</si>
  <si>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</si>
  <si>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</si>
  <si>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</si>
  <si>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</si>
  <si>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</si>
  <si>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</si>
  <si>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</si>
  <si>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</si>
  <si>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</si>
  <si>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</si>
  <si>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</si>
  <si>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</si>
  <si>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</si>
  <si>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</si>
  <si>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</si>
  <si>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</si>
  <si>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</si>
  <si>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</si>
  <si>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</si>
  <si>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</si>
  <si>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</si>
  <si>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</si>
  <si>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</si>
  <si>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</si>
  <si>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</si>
  <si>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</si>
  <si>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</si>
  <si>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</si>
  <si>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</si>
  <si>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</si>
  <si>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</si>
  <si>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</si>
  <si>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</si>
  <si>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</si>
  <si>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</si>
  <si>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</si>
  <si>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</si>
  <si>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</si>
  <si>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</si>
  <si>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</si>
  <si>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</si>
  <si>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</si>
  <si>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</si>
  <si>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</si>
  <si>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</si>
  <si>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</si>
  <si>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</si>
  <si>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</si>
  <si>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</si>
  <si>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</si>
  <si>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</si>
  <si>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</si>
  <si>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</si>
  <si>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</si>
  <si>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</si>
  <si>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</si>
  <si>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</si>
  <si>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</si>
  <si>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</si>
  <si>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</si>
  <si>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</si>
  <si>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</si>
  <si>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</si>
  <si>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</si>
  <si>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</si>
  <si>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</si>
  <si>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</si>
  <si>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</si>
  <si>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</si>
  <si>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</si>
  <si>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</si>
  <si>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</si>
  <si>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</si>
  <si>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</si>
  <si>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</si>
  <si>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</si>
  <si>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</si>
  <si>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</si>
  <si>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</si>
  <si>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</si>
  <si>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</si>
  <si>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</si>
  <si>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</si>
  <si>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</si>
  <si>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</si>
  <si>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</si>
  <si>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</si>
  <si>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</si>
  <si>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</si>
  <si>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</si>
  <si>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</si>
  <si>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</si>
  <si>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</si>
  <si>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</si>
  <si>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</si>
  <si>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</si>
  <si>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</si>
  <si>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</si>
  <si>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</si>
  <si>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</si>
  <si>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</si>
  <si>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</si>
  <si>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</si>
  <si>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</si>
  <si>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</si>
  <si>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</si>
  <si>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</si>
  <si>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</si>
  <si>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</si>
  <si>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</si>
  <si>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</si>
  <si>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</si>
  <si>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</si>
  <si>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</si>
  <si>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</si>
  <si>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</si>
  <si>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</si>
  <si>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</si>
  <si>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</si>
  <si>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</si>
  <si>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</si>
  <si>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</si>
  <si>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</si>
  <si>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</si>
  <si>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</si>
  <si>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</si>
  <si>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</si>
  <si>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</si>
  <si>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</si>
  <si>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</si>
  <si>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</si>
  <si>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</si>
  <si>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</si>
  <si>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</si>
  <si>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</si>
  <si>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</si>
  <si>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</si>
  <si>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</si>
  <si>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</si>
  <si>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</si>
  <si>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</si>
  <si>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</si>
  <si>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</si>
  <si>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</si>
  <si>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</si>
  <si>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</si>
  <si>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</si>
  <si>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</si>
  <si>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</si>
  <si>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</si>
  <si>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</si>
  <si>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</si>
  <si>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</si>
  <si>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</si>
  <si>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</si>
  <si>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</si>
  <si>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</si>
  <si>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</si>
  <si>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</si>
  <si>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</si>
  <si>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</si>
  <si>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</si>
  <si>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</si>
  <si>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</si>
  <si>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</si>
  <si>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</si>
  <si>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</si>
  <si>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</si>
  <si>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</si>
  <si>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</si>
  <si>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</si>
  <si>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</si>
  <si>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</si>
  <si>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</si>
  <si>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</si>
  <si>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</si>
  <si>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</si>
  <si>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</si>
  <si>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</si>
  <si>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</si>
  <si>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</si>
  <si>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</si>
  <si>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</si>
  <si>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</si>
  <si>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</si>
  <si>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</si>
  <si>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</si>
  <si>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</si>
  <si>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</si>
  <si>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</si>
  <si>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</si>
  <si>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</si>
  <si>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</si>
  <si>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</si>
  <si>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</si>
  <si>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</si>
  <si>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</si>
  <si>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</si>
  <si>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</si>
  <si>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</si>
  <si>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</si>
  <si>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</si>
  <si>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</si>
  <si>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</si>
  <si>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</si>
  <si>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</si>
  <si>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</si>
  <si>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</si>
  <si>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</si>
  <si>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</si>
  <si>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</si>
  <si>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</si>
  <si>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</si>
  <si>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</si>
  <si>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</si>
  <si>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</si>
  <si>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</si>
  <si>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</si>
  <si>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</si>
  <si>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</si>
  <si>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</si>
  <si>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</si>
  <si>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</si>
  <si>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</si>
  <si>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</si>
  <si>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</si>
  <si>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</si>
  <si>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</si>
  <si>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</si>
  <si>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</si>
  <si>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</si>
  <si>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</si>
  <si>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</si>
  <si>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</si>
  <si>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</si>
  <si>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</si>
  <si>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</si>
  <si>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</si>
  <si>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</si>
  <si>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</si>
  <si>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</si>
  <si>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</si>
  <si>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</si>
  <si>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</si>
  <si>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</si>
  <si>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</si>
  <si>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</si>
  <si>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</si>
  <si>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</si>
  <si>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</si>
  <si>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</si>
  <si>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</si>
  <si>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</si>
  <si>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</si>
  <si>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</si>
  <si>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</si>
  <si>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</si>
  <si>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</si>
  <si>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</si>
  <si>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</si>
  <si>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</si>
  <si>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</si>
  <si>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</si>
  <si>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</si>
  <si>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</si>
  <si>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</si>
  <si>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</si>
  <si>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</si>
  <si>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</si>
  <si>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</si>
  <si>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</si>
  <si>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</si>
  <si>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</si>
  <si>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</si>
  <si>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</si>
  <si>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</si>
  <si>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</si>
  <si>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</si>
  <si>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</si>
  <si>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</si>
  <si>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</si>
  <si>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</si>
  <si>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</si>
  <si>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</si>
  <si>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</si>
  <si>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</si>
  <si>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</si>
  <si>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</si>
  <si>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</si>
  <si>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</si>
  <si>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</si>
  <si>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</si>
  <si>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</si>
  <si>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</si>
  <si>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</si>
  <si>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</si>
  <si>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</si>
  <si>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</si>
  <si>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</si>
  <si>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</si>
  <si>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</si>
  <si>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</si>
  <si>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</si>
  <si>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</si>
  <si>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</si>
  <si>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</si>
  <si>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</si>
  <si>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</si>
  <si>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</si>
  <si>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</si>
  <si>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</si>
  <si>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</si>
  <si>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</si>
  <si>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</si>
  <si>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</si>
  <si>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</si>
  <si>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</si>
  <si>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</si>
  <si>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</si>
  <si>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</si>
  <si>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</si>
  <si>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</si>
  <si>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</si>
  <si>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</si>
  <si>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</si>
  <si>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</si>
  <si>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</si>
  <si>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</si>
  <si>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</si>
  <si>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</si>
  <si>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</si>
  <si>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</si>
  <si>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</si>
  <si>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</si>
  <si>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</si>
  <si>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</si>
  <si>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</si>
  <si>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</si>
  <si>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</si>
  <si>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</si>
  <si>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</si>
  <si>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</si>
  <si>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</si>
  <si>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</si>
  <si>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</si>
  <si>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</si>
  <si>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</si>
  <si>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</si>
  <si>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</si>
  <si>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</si>
  <si>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</si>
  <si>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</si>
  <si>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</si>
  <si>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</si>
  <si>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</si>
  <si>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</si>
  <si>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</si>
  <si>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</si>
  <si>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</si>
  <si>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</si>
  <si>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</si>
  <si>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</si>
  <si>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</si>
  <si>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</si>
  <si>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</si>
  <si>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</si>
  <si>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</si>
  <si>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</si>
  <si>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</si>
  <si>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</si>
  <si>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</si>
  <si>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</si>
  <si>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</si>
  <si>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24104</t>
  </si>
  <si>
    <t>TERVUREN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</si>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</sst>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196145.70535555156</c:v>
                </c:pt>
                <c:pt idx="1">
                  <c:v>54693.935077096976</c:v>
                </c:pt>
                <c:pt idx="2">
                  <c:v>1188.7919999999999</c:v>
                </c:pt>
                <c:pt idx="3">
                  <c:v>7326.8899258715383</c:v>
                </c:pt>
                <c:pt idx="4">
                  <c:v>5990.883099459892</c:v>
                </c:pt>
                <c:pt idx="5">
                  <c:v>214883.91997104255</c:v>
                </c:pt>
                <c:pt idx="6">
                  <c:v>4628.8735119802222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196145.70535555156</c:v>
                </c:pt>
                <c:pt idx="1">
                  <c:v>54693.935077096976</c:v>
                </c:pt>
                <c:pt idx="2">
                  <c:v>1188.7919999999999</c:v>
                </c:pt>
                <c:pt idx="3">
                  <c:v>7326.8899258715383</c:v>
                </c:pt>
                <c:pt idx="4">
                  <c:v>5990.883099459892</c:v>
                </c:pt>
                <c:pt idx="5">
                  <c:v>214883.91997104255</c:v>
                </c:pt>
                <c:pt idx="6">
                  <c:v>4628.8735119802222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38521.500745134093</c:v>
                </c:pt>
                <c:pt idx="1">
                  <c:v>10634.833119323273</c:v>
                </c:pt>
                <c:pt idx="2">
                  <c:v>252.8073346297877</c:v>
                </c:pt>
                <c:pt idx="3">
                  <c:v>1531.4996730948924</c:v>
                </c:pt>
                <c:pt idx="4">
                  <c:v>1202.9054785156247</c:v>
                </c:pt>
                <c:pt idx="5">
                  <c:v>53725.550052124483</c:v>
                </c:pt>
                <c:pt idx="6">
                  <c:v>1169.4875004642515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58432"/>
      </c:barChart>
      <c:catAx>
        <c:axId val="183007488"/>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38521.500745134093</c:v>
                </c:pt>
                <c:pt idx="1">
                  <c:v>10634.833119323273</c:v>
                </c:pt>
                <c:pt idx="2">
                  <c:v>252.8073346297877</c:v>
                </c:pt>
                <c:pt idx="3">
                  <c:v>1531.4996730948924</c:v>
                </c:pt>
                <c:pt idx="4">
                  <c:v>1202.9054785156247</c:v>
                </c:pt>
                <c:pt idx="5">
                  <c:v>53725.550052124483</c:v>
                </c:pt>
                <c:pt idx="6">
                  <c:v>1169.4875004642515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8531</v>
      </c>
      <c r="C9" s="342">
        <v>8822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739.65</v>
      </c>
    </row>
    <row r="15" spans="1:6">
      <c r="A15" s="348" t="s">
        <v>184</v>
      </c>
      <c r="B15" s="334">
        <v>2</v>
      </c>
    </row>
    <row r="16" spans="1:6">
      <c r="A16" s="348" t="s">
        <v>6</v>
      </c>
      <c r="B16" s="334">
        <v>55</v>
      </c>
    </row>
    <row r="17" spans="1:6">
      <c r="A17" s="348" t="s">
        <v>7</v>
      </c>
      <c r="B17" s="334">
        <v>72</v>
      </c>
    </row>
    <row r="18" spans="1:6">
      <c r="A18" s="348" t="s">
        <v>8</v>
      </c>
      <c r="B18" s="334">
        <v>169</v>
      </c>
    </row>
    <row r="19" spans="1:6">
      <c r="A19" s="348" t="s">
        <v>9</v>
      </c>
      <c r="B19" s="334">
        <v>276</v>
      </c>
    </row>
    <row r="20" spans="1:6">
      <c r="A20" s="348" t="s">
        <v>10</v>
      </c>
      <c r="B20" s="334">
        <v>74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162</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3628.2696200513001</v>
      </c>
    </row>
    <row r="37" spans="1:6">
      <c r="A37" s="348" t="s">
        <v>25</v>
      </c>
      <c r="B37" s="348" t="s">
        <v>28</v>
      </c>
      <c r="C37" s="334">
        <v>0</v>
      </c>
      <c r="D37" s="334">
        <v>0</v>
      </c>
      <c r="E37" s="334">
        <v>0</v>
      </c>
      <c r="F37" s="334">
        <v>0</v>
      </c>
    </row>
    <row r="38" spans="1:6">
      <c r="A38" s="348" t="s">
        <v>25</v>
      </c>
      <c r="B38" s="348" t="s">
        <v>29</v>
      </c>
      <c r="C38" s="334">
        <v>2</v>
      </c>
      <c r="D38" s="334">
        <v>368620.50439595099</v>
      </c>
      <c r="E38" s="334">
        <v>1</v>
      </c>
      <c r="F38" s="334">
        <v>91923</v>
      </c>
    </row>
    <row r="39" spans="1:6">
      <c r="A39" s="348" t="s">
        <v>30</v>
      </c>
      <c r="B39" s="348" t="s">
        <v>31</v>
      </c>
      <c r="C39" s="334">
        <v>6671</v>
      </c>
      <c r="D39" s="334">
        <v>153989056.90304199</v>
      </c>
      <c r="E39" s="334">
        <v>8673</v>
      </c>
      <c r="F39" s="334">
        <v>34212181.866909698</v>
      </c>
    </row>
    <row r="40" spans="1:6">
      <c r="A40" s="348" t="s">
        <v>30</v>
      </c>
      <c r="B40" s="348" t="s">
        <v>29</v>
      </c>
      <c r="C40" s="334">
        <v>1</v>
      </c>
      <c r="D40" s="334">
        <v>87948.7582251485</v>
      </c>
      <c r="E40" s="334">
        <v>0</v>
      </c>
      <c r="F40" s="334">
        <v>0</v>
      </c>
    </row>
    <row r="41" spans="1:6">
      <c r="A41" s="348" t="s">
        <v>32</v>
      </c>
      <c r="B41" s="348" t="s">
        <v>33</v>
      </c>
      <c r="C41" s="334">
        <v>39</v>
      </c>
      <c r="D41" s="334">
        <v>1280315.6282023699</v>
      </c>
      <c r="E41" s="334">
        <v>73</v>
      </c>
      <c r="F41" s="334">
        <v>553890.40461247996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80367.937127847006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55659.741502836703</v>
      </c>
      <c r="E47" s="334">
        <v>3</v>
      </c>
      <c r="F47" s="334">
        <v>7381.3114761646002</v>
      </c>
    </row>
    <row r="48" spans="1:6">
      <c r="A48" s="348" t="s">
        <v>32</v>
      </c>
      <c r="B48" s="348" t="s">
        <v>29</v>
      </c>
      <c r="C48" s="334">
        <v>24</v>
      </c>
      <c r="D48" s="334">
        <v>1328504.5900012001</v>
      </c>
      <c r="E48" s="334">
        <v>26</v>
      </c>
      <c r="F48" s="334">
        <v>335858.83156802203</v>
      </c>
    </row>
    <row r="49" spans="1:6">
      <c r="A49" s="348" t="s">
        <v>32</v>
      </c>
      <c r="B49" s="348" t="s">
        <v>40</v>
      </c>
      <c r="C49" s="334">
        <v>0</v>
      </c>
      <c r="D49" s="334">
        <v>0</v>
      </c>
      <c r="E49" s="334">
        <v>0</v>
      </c>
      <c r="F49" s="334">
        <v>0</v>
      </c>
    </row>
    <row r="50" spans="1:6">
      <c r="A50" s="348" t="s">
        <v>32</v>
      </c>
      <c r="B50" s="348" t="s">
        <v>41</v>
      </c>
      <c r="C50" s="334">
        <v>5</v>
      </c>
      <c r="D50" s="334">
        <v>954442.17992811999</v>
      </c>
      <c r="E50" s="334">
        <v>10</v>
      </c>
      <c r="F50" s="334">
        <v>675433.80310116604</v>
      </c>
    </row>
    <row r="51" spans="1:6">
      <c r="A51" s="348" t="s">
        <v>42</v>
      </c>
      <c r="B51" s="348" t="s">
        <v>43</v>
      </c>
      <c r="C51" s="334">
        <v>3</v>
      </c>
      <c r="D51" s="334">
        <v>41802.925833929599</v>
      </c>
      <c r="E51" s="334">
        <v>36</v>
      </c>
      <c r="F51" s="334">
        <v>159070.98545434899</v>
      </c>
    </row>
    <row r="52" spans="1:6">
      <c r="A52" s="348" t="s">
        <v>42</v>
      </c>
      <c r="B52" s="348" t="s">
        <v>29</v>
      </c>
      <c r="C52" s="334">
        <v>5</v>
      </c>
      <c r="D52" s="334">
        <v>112359.20248681</v>
      </c>
      <c r="E52" s="334">
        <v>3</v>
      </c>
      <c r="F52" s="334">
        <v>10118.9972548366</v>
      </c>
    </row>
    <row r="53" spans="1:6">
      <c r="A53" s="348" t="s">
        <v>44</v>
      </c>
      <c r="B53" s="348" t="s">
        <v>45</v>
      </c>
      <c r="C53" s="334">
        <v>217</v>
      </c>
      <c r="D53" s="334">
        <v>6967100.19128781</v>
      </c>
      <c r="E53" s="334">
        <v>343</v>
      </c>
      <c r="F53" s="334">
        <v>1758096.2457814401</v>
      </c>
    </row>
    <row r="54" spans="1:6">
      <c r="A54" s="348" t="s">
        <v>46</v>
      </c>
      <c r="B54" s="348" t="s">
        <v>47</v>
      </c>
      <c r="C54" s="334">
        <v>0</v>
      </c>
      <c r="D54" s="334">
        <v>0</v>
      </c>
      <c r="E54" s="334">
        <v>1</v>
      </c>
      <c r="F54" s="334">
        <v>1188792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5595057.2260121796</v>
      </c>
      <c r="E57" s="334">
        <v>86</v>
      </c>
      <c r="F57" s="334">
        <v>4644046.6364137502</v>
      </c>
    </row>
    <row r="58" spans="1:6">
      <c r="A58" s="348" t="s">
        <v>49</v>
      </c>
      <c r="B58" s="348" t="s">
        <v>51</v>
      </c>
      <c r="C58" s="334">
        <v>39</v>
      </c>
      <c r="D58" s="334">
        <v>1133266.62397429</v>
      </c>
      <c r="E58" s="334">
        <v>46</v>
      </c>
      <c r="F58" s="334">
        <v>335957.81186463602</v>
      </c>
    </row>
    <row r="59" spans="1:6">
      <c r="A59" s="348" t="s">
        <v>49</v>
      </c>
      <c r="B59" s="348" t="s">
        <v>52</v>
      </c>
      <c r="C59" s="334">
        <v>58</v>
      </c>
      <c r="D59" s="334">
        <v>2550415.6696279398</v>
      </c>
      <c r="E59" s="334">
        <v>128</v>
      </c>
      <c r="F59" s="334">
        <v>3823284.4097665399</v>
      </c>
    </row>
    <row r="60" spans="1:6">
      <c r="A60" s="348" t="s">
        <v>49</v>
      </c>
      <c r="B60" s="348" t="s">
        <v>53</v>
      </c>
      <c r="C60" s="334">
        <v>43</v>
      </c>
      <c r="D60" s="334">
        <v>1537633.9863773901</v>
      </c>
      <c r="E60" s="334">
        <v>55</v>
      </c>
      <c r="F60" s="334">
        <v>764608.40178699803</v>
      </c>
    </row>
    <row r="61" spans="1:6">
      <c r="A61" s="348" t="s">
        <v>49</v>
      </c>
      <c r="B61" s="348" t="s">
        <v>54</v>
      </c>
      <c r="C61" s="334">
        <v>294</v>
      </c>
      <c r="D61" s="334">
        <v>14377825.854898101</v>
      </c>
      <c r="E61" s="334">
        <v>499</v>
      </c>
      <c r="F61" s="334">
        <v>5442101.4519132599</v>
      </c>
    </row>
    <row r="62" spans="1:6">
      <c r="A62" s="348" t="s">
        <v>49</v>
      </c>
      <c r="B62" s="348" t="s">
        <v>55</v>
      </c>
      <c r="C62" s="334">
        <v>9</v>
      </c>
      <c r="D62" s="334">
        <v>456150.33546791901</v>
      </c>
      <c r="E62" s="334">
        <v>15</v>
      </c>
      <c r="F62" s="334">
        <v>1666695.0420641401</v>
      </c>
    </row>
    <row r="63" spans="1:6">
      <c r="A63" s="348" t="s">
        <v>49</v>
      </c>
      <c r="B63" s="348" t="s">
        <v>29</v>
      </c>
      <c r="C63" s="334">
        <v>86</v>
      </c>
      <c r="D63" s="334">
        <v>5639571.1839716099</v>
      </c>
      <c r="E63" s="334">
        <v>78</v>
      </c>
      <c r="F63" s="334">
        <v>1871618.8523907899</v>
      </c>
    </row>
    <row r="64" spans="1:6">
      <c r="A64" s="348" t="s">
        <v>56</v>
      </c>
      <c r="B64" s="348" t="s">
        <v>57</v>
      </c>
      <c r="C64" s="334">
        <v>0</v>
      </c>
      <c r="D64" s="334">
        <v>0</v>
      </c>
      <c r="E64" s="334">
        <v>0</v>
      </c>
      <c r="F64" s="334">
        <v>0</v>
      </c>
    </row>
    <row r="65" spans="1:6">
      <c r="A65" s="348" t="s">
        <v>56</v>
      </c>
      <c r="B65" s="348" t="s">
        <v>29</v>
      </c>
      <c r="C65" s="334">
        <v>2</v>
      </c>
      <c r="D65" s="334">
        <v>34448.424232571997</v>
      </c>
      <c r="E65" s="334">
        <v>3</v>
      </c>
      <c r="F65" s="334">
        <v>13010.052107420401</v>
      </c>
    </row>
    <row r="66" spans="1:6">
      <c r="A66" s="348" t="s">
        <v>56</v>
      </c>
      <c r="B66" s="348" t="s">
        <v>58</v>
      </c>
      <c r="C66" s="334">
        <v>0</v>
      </c>
      <c r="D66" s="334">
        <v>0</v>
      </c>
      <c r="E66" s="334">
        <v>10</v>
      </c>
      <c r="F66" s="334">
        <v>68297.675768564106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58322052</v>
      </c>
      <c r="E73" s="476">
        <v>59240431.933905996</v>
      </c>
    </row>
    <row r="74" spans="1:6">
      <c r="A74" s="348" t="s">
        <v>64</v>
      </c>
      <c r="B74" s="348" t="s">
        <v>657</v>
      </c>
      <c r="C74" s="1213" t="s">
        <v>659</v>
      </c>
      <c r="D74" s="476">
        <v>809918.071159499</v>
      </c>
      <c r="E74" s="476">
        <v>784873.73221503571</v>
      </c>
    </row>
    <row r="75" spans="1:6">
      <c r="A75" s="348" t="s">
        <v>65</v>
      </c>
      <c r="B75" s="348" t="s">
        <v>656</v>
      </c>
      <c r="C75" s="1213" t="s">
        <v>660</v>
      </c>
      <c r="D75" s="476">
        <v>55275390</v>
      </c>
      <c r="E75" s="476">
        <v>55857780.414064012</v>
      </c>
    </row>
    <row r="76" spans="1:6">
      <c r="A76" s="348" t="s">
        <v>65</v>
      </c>
      <c r="B76" s="348" t="s">
        <v>657</v>
      </c>
      <c r="C76" s="1213" t="s">
        <v>661</v>
      </c>
      <c r="D76" s="476">
        <v>159987.071159499</v>
      </c>
      <c r="E76" s="476">
        <v>170205.9923094007</v>
      </c>
    </row>
    <row r="77" spans="1:6">
      <c r="A77" s="348" t="s">
        <v>66</v>
      </c>
      <c r="B77" s="348" t="s">
        <v>656</v>
      </c>
      <c r="C77" s="1213" t="s">
        <v>662</v>
      </c>
      <c r="D77" s="476">
        <v>142325172</v>
      </c>
      <c r="E77" s="476">
        <v>144489834.35569435</v>
      </c>
    </row>
    <row r="78" spans="1:6">
      <c r="A78" s="341" t="s">
        <v>66</v>
      </c>
      <c r="B78" s="341" t="s">
        <v>657</v>
      </c>
      <c r="C78" s="341" t="s">
        <v>663</v>
      </c>
      <c r="D78" s="1214">
        <v>12293029</v>
      </c>
      <c r="E78" s="1214">
        <v>12677874.305459997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1255427.857681002</v>
      </c>
      <c r="C83" s="476">
        <v>1257136.3092332305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2151.292164469633</v>
      </c>
    </row>
    <row r="92" spans="1:6">
      <c r="A92" s="341" t="s">
        <v>69</v>
      </c>
      <c r="B92" s="342">
        <v>38.627345356974089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33</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146</v>
      </c>
    </row>
    <row r="130" spans="1:6">
      <c r="A130" s="348" t="s">
        <v>295</v>
      </c>
      <c r="B130" s="334">
        <v>2</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58023.38171251399</v>
      </c>
      <c r="C3" s="43" t="s">
        <v>170</v>
      </c>
      <c r="D3" s="43"/>
      <c r="E3" s="154"/>
      <c r="F3" s="43"/>
      <c r="G3" s="43"/>
      <c r="H3" s="43"/>
      <c r="I3" s="43"/>
      <c r="J3" s="43"/>
      <c r="K3" s="96"/>
    </row>
    <row r="4" spans="1:11">
      <c r="A4" s="383" t="s">
        <v>171</v>
      </c>
      <c r="B4" s="49">
        <f>IF(ISERROR('SEAP template'!B69),0,'SEAP template'!B69)</f>
        <v>2189.9195098266073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0.21265901404937762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1188.7919999999999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1188.7919999999999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0.21265901404937762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252.8073346297877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34212.181866909697</v>
      </c>
      <c r="C5" s="17">
        <f>IF(ISERROR('Eigen informatie GS &amp; warmtenet'!B57),0,'Eigen informatie GS &amp; warmtenet'!B57)</f>
        <v>0</v>
      </c>
      <c r="D5" s="30">
        <f>(SUM(HH_hh_gas_kWh,HH_rest_gas_kWh)/1000)*0.902</f>
        <v>138977.45910646295</v>
      </c>
      <c r="E5" s="17">
        <f>B46*B57</f>
        <v>2018.5424607478355</v>
      </c>
      <c r="F5" s="17">
        <f>B51*B62</f>
        <v>8452.5255884477065</v>
      </c>
      <c r="G5" s="18"/>
      <c r="H5" s="17"/>
      <c r="I5" s="17"/>
      <c r="J5" s="17">
        <f>B50*B61+C50*C61</f>
        <v>0</v>
      </c>
      <c r="K5" s="17"/>
      <c r="L5" s="17"/>
      <c r="M5" s="17"/>
      <c r="N5" s="17">
        <f>B48*B59+C48*C59</f>
        <v>9172.1108351803723</v>
      </c>
      <c r="O5" s="17">
        <f>B69*B70*B71</f>
        <v>284.52666666666664</v>
      </c>
      <c r="P5" s="17">
        <f>B77*B78*B79/1000-B77*B78*B79/1000/B80</f>
        <v>877.06666666666661</v>
      </c>
    </row>
    <row r="6" spans="1:16">
      <c r="A6" s="16" t="s">
        <v>621</v>
      </c>
      <c r="B6" s="843">
        <f>kWh_PV_kleiner_dan_10kW</f>
        <v>2151.292164469633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36363.47403137933</v>
      </c>
      <c r="C8" s="21">
        <f>C5</f>
        <v>0</v>
      </c>
      <c r="D8" s="21">
        <f>D5</f>
        <v>138977.45910646295</v>
      </c>
      <c r="E8" s="21">
        <f>E5</f>
        <v>2018.5424607478355</v>
      </c>
      <c r="F8" s="21">
        <f>F5</f>
        <v>8452.5255884477065</v>
      </c>
      <c r="G8" s="21"/>
      <c r="H8" s="21"/>
      <c r="I8" s="21"/>
      <c r="J8" s="21">
        <f>J5</f>
        <v>0</v>
      </c>
      <c r="K8" s="21"/>
      <c r="L8" s="21">
        <f>L5</f>
        <v>0</v>
      </c>
      <c r="M8" s="21">
        <f>M5</f>
        <v>0</v>
      </c>
      <c r="N8" s="21">
        <f>N5</f>
        <v>9172.1108351803723</v>
      </c>
      <c r="O8" s="21">
        <f>O5</f>
        <v>284.52666666666664</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0.21265901404937762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7733.0205349232756</v>
      </c>
      <c r="C12" s="23">
        <f ca="1">C10*C8</f>
        <v>0</v>
      </c>
      <c r="D12" s="23">
        <f>D8*D10</f>
        <v>28073.446739505518</v>
      </c>
      <c r="E12" s="23">
        <f>E10*E8</f>
        <v>458.20913858975871</v>
      </c>
      <c r="F12" s="23">
        <f>F10*F8</f>
        <v>2256.8243321155378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8531</v>
      </c>
      <c r="C28" s="36"/>
      <c r="D28" s="228"/>
    </row>
    <row r="29" spans="1:7" s="15" customFormat="1">
      <c r="A29" s="230" t="s">
        <v>795</v>
      </c>
      <c r="B29" s="37">
        <f>SUM(HH_hh_gas_aantal,HH_rest_gas_aantal)</f>
        <v>6672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6672</v>
      </c>
      <c r="C32" s="167">
        <f>IF(ISERROR(B32/SUM($B$32,$B$34,$B$35,$B$36,$B$38,$B$39)*100),0,B32/SUM($B$32,$B$34,$B$35,$B$36,$B$38,$B$39)*100)</f>
        <v>78.63288155568651</v>
      </c>
      <c r="D32" s="233"/>
      <c r="G32" s="15"/>
    </row>
    <row r="33" spans="1:7">
      <c r="A33" s="171" t="s">
        <v>72</v>
      </c>
      <c r="B33" s="34" t="s">
        <v>111</v>
      </c>
      <c r="C33" s="167"/>
      <c r="D33" s="233"/>
      <c r="G33" s="15"/>
    </row>
    <row r="34" spans="1:7">
      <c r="A34" s="171" t="s">
        <v>73</v>
      </c>
      <c r="B34" s="33">
        <f>IF((($B$28-$B$32-$B$39-$B$77-$B$38)*C20/100)&lt;0,0,($B$28-$B$32-$B$39-$B$77-$B$38)*C20/100)</f>
        <v>95.333729216152037</v>
      </c>
      <c r="C34" s="167">
        <f>IF(ISERROR(B34/SUM($B$32,$B$34,$B$35,$B$36,$B$38,$B$39)*100),0,B34/SUM($B$32,$B$34,$B$35,$B$36,$B$38,$B$39)*100)</f>
        <v>1.1235560308326697</v>
      </c>
      <c r="D34" s="233"/>
      <c r="G34" s="15"/>
    </row>
    <row r="35" spans="1:7">
      <c r="A35" s="171" t="s">
        <v>74</v>
      </c>
      <c r="B35" s="33">
        <f>IF((($B$28-$B$32-$B$39-$B$77-$B$38)*C21/100)&lt;0,0,($B$28-$B$32-$B$39-$B$77-$B$38)*C21/100)</f>
        <v>1264.0546318289787</v>
      </c>
      <c r="C35" s="167">
        <f>IF(ISERROR(B35/SUM($B$32,$B$34,$B$35,$B$36,$B$38,$B$39)*100),0,B35/SUM($B$32,$B$34,$B$35,$B$36,$B$38,$B$39)*100)</f>
        <v>14.897520705114658</v>
      </c>
      <c r="D35" s="233"/>
      <c r="G35" s="15"/>
    </row>
    <row r="36" spans="1:7">
      <c r="A36" s="171" t="s">
        <v>75</v>
      </c>
      <c r="B36" s="33">
        <f>IF((($B$28-$B$32-$B$39-$B$77-$B$38)*C22/100)&lt;0,0,($B$28-$B$32-$B$39-$B$77-$B$38)*C22/100)</f>
        <v>127.11163895486936</v>
      </c>
      <c r="C36" s="167">
        <f>IF(ISERROR(B36/SUM($B$32,$B$34,$B$35,$B$36,$B$38,$B$39)*100),0,B36/SUM($B$32,$B$34,$B$35,$B$36,$B$38,$B$39)*100)</f>
        <v>1.498074707776893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326.5</v>
      </c>
      <c r="C39" s="167">
        <f>IF(ISERROR(B39/SUM($B$32,$B$34,$B$35,$B$36,$B$38,$B$39)*100),0,B39/SUM($B$32,$B$34,$B$35,$B$36,$B$38,$B$39)*100)</f>
        <v>3.847967000589275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6672</v>
      </c>
      <c r="C44" s="34" t="s">
        <v>111</v>
      </c>
      <c r="D44" s="174"/>
    </row>
    <row r="45" spans="1:7">
      <c r="A45" s="171" t="s">
        <v>72</v>
      </c>
      <c r="B45" s="33" t="str">
        <f t="shared" si="0"/>
        <v>-</v>
      </c>
      <c r="C45" s="34" t="s">
        <v>111</v>
      </c>
      <c r="D45" s="174"/>
    </row>
    <row r="46" spans="1:7">
      <c r="A46" s="171" t="s">
        <v>73</v>
      </c>
      <c r="B46" s="33">
        <f t="shared" si="0"/>
        <v>95.333729216152037</v>
      </c>
      <c r="C46" s="34" t="s">
        <v>111</v>
      </c>
      <c r="D46" s="174"/>
    </row>
    <row r="47" spans="1:7">
      <c r="A47" s="171" t="s">
        <v>74</v>
      </c>
      <c r="B47" s="33">
        <f t="shared" si="0"/>
        <v>1264.0546318289787</v>
      </c>
      <c r="C47" s="34" t="s">
        <v>111</v>
      </c>
      <c r="D47" s="174"/>
    </row>
    <row r="48" spans="1:7">
      <c r="A48" s="171" t="s">
        <v>75</v>
      </c>
      <c r="B48" s="33">
        <f t="shared" si="0"/>
        <v>127.11163895486936</v>
      </c>
      <c r="C48" s="33">
        <f>B48*10</f>
        <v>1271.1163895486936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18548.312606200114</v>
      </c>
      <c r="C5" s="17">
        <f>IF(ISERROR('Eigen informatie GS &amp; warmtenet'!B58),0,'Eigen informatie GS &amp; warmtenet'!B58)</f>
        <v>0</v>
      </c>
      <c r="D5" s="30">
        <f>SUM(D6:D12)</f>
        <v>28223.508634057143</v>
      </c>
      <c r="E5" s="17">
        <f>SUM(E6:E12)</f>
        <v>203.59927384512983</v>
      </c>
      <c r="F5" s="17">
        <f>SUM(F6:F12)</f>
        <v>3531.7010484817802</v>
      </c>
      <c r="G5" s="18"/>
      <c r="H5" s="17"/>
      <c r="I5" s="17"/>
      <c r="J5" s="17">
        <f>SUM(J6:J12)</f>
        <v>0.10533622060058771</v>
      </c>
      <c r="K5" s="17"/>
      <c r="L5" s="17"/>
      <c r="M5" s="17"/>
      <c r="N5" s="17">
        <f>SUM(N6:N12)</f>
        <v>4145.4481782922167</v>
      </c>
      <c r="O5" s="17">
        <f>B38*B39*B40</f>
        <v>3.1266666666666669</v>
      </c>
      <c r="P5" s="17">
        <f>B46*B47*B48/1000-B46*B47*B48/1000/B49</f>
        <v>38.133333333333333</v>
      </c>
      <c r="R5" s="32"/>
    </row>
    <row r="6" spans="1:18">
      <c r="A6" s="32" t="s">
        <v>54</v>
      </c>
      <c r="B6" s="37">
        <f>B26</f>
        <v>5442.1014519132596</v>
      </c>
      <c r="C6" s="33"/>
      <c r="D6" s="37">
        <f>IF(ISERROR(TER_kantoor_gas_kWh/1000),0,TER_kantoor_gas_kWh/1000)*0.902</f>
        <v>12968.798921118088</v>
      </c>
      <c r="E6" s="33">
        <f>$C$26*'E Balans VL '!I12/100/3.6*1000000</f>
        <v>3.4109281886005836E-2</v>
      </c>
      <c r="F6" s="33">
        <f>$C$26*('E Balans VL '!L12+'E Balans VL '!N12)/100/3.6*1000000</f>
        <v>817.79578140481203</v>
      </c>
      <c r="G6" s="34"/>
      <c r="H6" s="33"/>
      <c r="I6" s="33"/>
      <c r="J6" s="33">
        <f>$C$26*('E Balans VL '!D12+'E Balans VL '!E12)/100/3.6*1000000</f>
        <v>0</v>
      </c>
      <c r="K6" s="33"/>
      <c r="L6" s="33"/>
      <c r="M6" s="33"/>
      <c r="N6" s="33">
        <f>$C$26*'E Balans VL '!Y12/100/3.6*1000000</f>
        <v>5.2045631586644046</v>
      </c>
      <c r="O6" s="33"/>
      <c r="P6" s="33"/>
      <c r="R6" s="32"/>
    </row>
    <row r="7" spans="1:18">
      <c r="A7" s="32" t="s">
        <v>53</v>
      </c>
      <c r="B7" s="37">
        <f t="shared" ref="B7:B12" si="0">B27</f>
        <v>764.608401786998</v>
      </c>
      <c r="C7" s="33"/>
      <c r="D7" s="37">
        <f>IF(ISERROR(TER_horeca_gas_kWh/1000),0,TER_horeca_gas_kWh/1000)*0.902</f>
        <v>1386.945855712406</v>
      </c>
      <c r="E7" s="33">
        <f>$C$27*'E Balans VL '!I9/100/3.6*1000000</f>
        <v>10.949064954142752</v>
      </c>
      <c r="F7" s="33">
        <f>$C$27*('E Balans VL '!L9+'E Balans VL '!N9)/100/3.6*1000000</f>
        <v>96.824641422860722</v>
      </c>
      <c r="G7" s="34"/>
      <c r="H7" s="33"/>
      <c r="I7" s="33"/>
      <c r="J7" s="33">
        <f>$C$27*('E Balans VL '!D9+'E Balans VL '!E9)/100/3.6*1000000</f>
        <v>0</v>
      </c>
      <c r="K7" s="33"/>
      <c r="L7" s="33"/>
      <c r="M7" s="33"/>
      <c r="N7" s="33">
        <f>$C$27*'E Balans VL '!Y9/100/3.6*1000000</f>
        <v>0.21980805734560205</v>
      </c>
      <c r="O7" s="33"/>
      <c r="P7" s="33"/>
      <c r="R7" s="32"/>
    </row>
    <row r="8" spans="1:18">
      <c r="A8" s="6" t="s">
        <v>52</v>
      </c>
      <c r="B8" s="37">
        <f t="shared" si="0"/>
        <v>3823.2844097665397</v>
      </c>
      <c r="C8" s="33"/>
      <c r="D8" s="37">
        <f>IF(ISERROR(TER_handel_gas_kWh/1000),0,TER_handel_gas_kWh/1000)*0.902</f>
        <v>2300.4749340044018</v>
      </c>
      <c r="E8" s="33">
        <f>$C$28*'E Balans VL '!I13/100/3.6*1000000</f>
        <v>138.6700540759214</v>
      </c>
      <c r="F8" s="33">
        <f>$C$28*('E Balans VL '!L13+'E Balans VL '!N13)/100/3.6*1000000</f>
        <v>736.40329053699384</v>
      </c>
      <c r="G8" s="34"/>
      <c r="H8" s="33"/>
      <c r="I8" s="33"/>
      <c r="J8" s="33">
        <f>$C$28*('E Balans VL '!D13+'E Balans VL '!E13)/100/3.6*1000000</f>
        <v>0</v>
      </c>
      <c r="K8" s="33"/>
      <c r="L8" s="33"/>
      <c r="M8" s="33"/>
      <c r="N8" s="33">
        <f>$C$28*'E Balans VL '!Y13/100/3.6*1000000</f>
        <v>5.2961286060359676</v>
      </c>
      <c r="O8" s="33"/>
      <c r="P8" s="33"/>
      <c r="R8" s="32"/>
    </row>
    <row r="9" spans="1:18">
      <c r="A9" s="32" t="s">
        <v>51</v>
      </c>
      <c r="B9" s="37">
        <f t="shared" si="0"/>
        <v>335.95781186463603</v>
      </c>
      <c r="C9" s="33"/>
      <c r="D9" s="37">
        <f>IF(ISERROR(TER_gezond_gas_kWh/1000),0,TER_gezond_gas_kWh/1000)*0.902</f>
        <v>1022.2064948248096</v>
      </c>
      <c r="E9" s="33">
        <f>$C$29*'E Balans VL '!I10/100/3.6*1000000</f>
        <v>2.1034276006870543E-2</v>
      </c>
      <c r="F9" s="33">
        <f>$C$29*('E Balans VL '!L10+'E Balans VL '!N10)/100/3.6*1000000</f>
        <v>49.907555846613526</v>
      </c>
      <c r="G9" s="34"/>
      <c r="H9" s="33"/>
      <c r="I9" s="33"/>
      <c r="J9" s="33">
        <f>$C$29*('E Balans VL '!D10+'E Balans VL '!E10)/100/3.6*1000000</f>
        <v>0</v>
      </c>
      <c r="K9" s="33"/>
      <c r="L9" s="33"/>
      <c r="M9" s="33"/>
      <c r="N9" s="33">
        <f>$C$29*'E Balans VL '!Y10/100/3.6*1000000</f>
        <v>5.1966278510800112</v>
      </c>
      <c r="O9" s="33"/>
      <c r="P9" s="33"/>
      <c r="R9" s="32"/>
    </row>
    <row r="10" spans="1:18">
      <c r="A10" s="32" t="s">
        <v>50</v>
      </c>
      <c r="B10" s="37">
        <f t="shared" si="0"/>
        <v>4644.0466364137501</v>
      </c>
      <c r="C10" s="33"/>
      <c r="D10" s="37">
        <f>IF(ISERROR(TER_ander_gas_kWh/1000),0,TER_ander_gas_kWh/1000)*0.902</f>
        <v>5046.7416178629865</v>
      </c>
      <c r="E10" s="33">
        <f>$C$30*'E Balans VL '!I14/100/3.6*1000000</f>
        <v>5.5355376404190588</v>
      </c>
      <c r="F10" s="33">
        <f>$C$30*('E Balans VL '!L14+'E Balans VL '!N14)/100/3.6*1000000</f>
        <v>1215.0890581834242</v>
      </c>
      <c r="G10" s="34"/>
      <c r="H10" s="33"/>
      <c r="I10" s="33"/>
      <c r="J10" s="33">
        <f>$C$30*('E Balans VL '!D14+'E Balans VL '!E14)/100/3.6*1000000</f>
        <v>0.1008040483163803</v>
      </c>
      <c r="K10" s="33"/>
      <c r="L10" s="33"/>
      <c r="M10" s="33"/>
      <c r="N10" s="33">
        <f>$C$30*'E Balans VL '!Y14/100/3.6*1000000</f>
        <v>3943.610765420935</v>
      </c>
      <c r="O10" s="33"/>
      <c r="P10" s="33"/>
      <c r="R10" s="32"/>
    </row>
    <row r="11" spans="1:18">
      <c r="A11" s="32" t="s">
        <v>55</v>
      </c>
      <c r="B11" s="37">
        <f t="shared" si="0"/>
        <v>1666.6950420641401</v>
      </c>
      <c r="C11" s="33"/>
      <c r="D11" s="37">
        <f>IF(ISERROR(TER_onderwijs_gas_kWh/1000),0,TER_onderwijs_gas_kWh/1000)*0.902</f>
        <v>411.44760259206299</v>
      </c>
      <c r="E11" s="33">
        <f>$C$31*'E Balans VL '!I11/100/3.6*1000000</f>
        <v>25.147743717117429</v>
      </c>
      <c r="F11" s="33">
        <f>$C$31*('E Balans VL '!L11+'E Balans VL '!N11)/100/3.6*1000000</f>
        <v>292.03159761505628</v>
      </c>
      <c r="G11" s="34"/>
      <c r="H11" s="33"/>
      <c r="I11" s="33"/>
      <c r="J11" s="33">
        <f>$C$31*('E Balans VL '!D11+'E Balans VL '!E11)/100/3.6*1000000</f>
        <v>0</v>
      </c>
      <c r="K11" s="33"/>
      <c r="L11" s="33"/>
      <c r="M11" s="33"/>
      <c r="N11" s="33">
        <f>$C$31*'E Balans VL '!Y11/100/3.6*1000000</f>
        <v>4.6902065553508292</v>
      </c>
      <c r="O11" s="33"/>
      <c r="P11" s="33"/>
      <c r="R11" s="32"/>
    </row>
    <row r="12" spans="1:18">
      <c r="A12" s="32" t="s">
        <v>260</v>
      </c>
      <c r="B12" s="37">
        <f t="shared" si="0"/>
        <v>1871.6188523907899</v>
      </c>
      <c r="C12" s="33"/>
      <c r="D12" s="37">
        <f>IF(ISERROR(TER_rest_gas_kWh/1000),0,TER_rest_gas_kWh/1000)*0.902</f>
        <v>5086.8932079423921</v>
      </c>
      <c r="E12" s="33">
        <f>$C$32*'E Balans VL '!I8/100/3.6*1000000</f>
        <v>23.241729899636319</v>
      </c>
      <c r="F12" s="33">
        <f>$C$32*('E Balans VL '!L8+'E Balans VL '!N8)/100/3.6*1000000</f>
        <v>323.64912347201908</v>
      </c>
      <c r="G12" s="34"/>
      <c r="H12" s="33"/>
      <c r="I12" s="33"/>
      <c r="J12" s="33">
        <f>$C$32*('E Balans VL '!D8+'E Balans VL '!E8)/100/3.6*1000000</f>
        <v>4.5321722842074051E-3</v>
      </c>
      <c r="K12" s="33"/>
      <c r="L12" s="33"/>
      <c r="M12" s="33"/>
      <c r="N12" s="33">
        <f>$C$32*'E Balans VL '!Y8/100/3.6*1000000</f>
        <v>181.23007864280481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18548.312606200114</v>
      </c>
      <c r="C16" s="21">
        <f t="shared" ca="1" si="1"/>
        <v>0</v>
      </c>
      <c r="D16" s="21">
        <f t="shared" ca="1" si="1"/>
        <v>28223.508634057143</v>
      </c>
      <c r="E16" s="21">
        <f t="shared" si="1"/>
        <v>203.59927384512983</v>
      </c>
      <c r="F16" s="21">
        <f t="shared" ca="1" si="1"/>
        <v>3531.7010484817802</v>
      </c>
      <c r="G16" s="21">
        <f t="shared" si="1"/>
        <v>0</v>
      </c>
      <c r="H16" s="21">
        <f t="shared" si="1"/>
        <v>0</v>
      </c>
      <c r="I16" s="21">
        <f t="shared" si="1"/>
        <v>0</v>
      </c>
      <c r="J16" s="21">
        <f t="shared" si="1"/>
        <v>0.10533622060058771</v>
      </c>
      <c r="K16" s="21">
        <f t="shared" si="1"/>
        <v>0</v>
      </c>
      <c r="L16" s="21">
        <f t="shared" ca="1" si="1"/>
        <v>0</v>
      </c>
      <c r="M16" s="21">
        <f t="shared" si="1"/>
        <v>0</v>
      </c>
      <c r="N16" s="21">
        <f t="shared" ca="1" si="1"/>
        <v>4145.4481782922167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0.21265901404937762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3944.4658711141578</v>
      </c>
      <c r="C20" s="23">
        <f t="shared" ref="C20:P20" ca="1" si="2">C16*C18</f>
        <v>0</v>
      </c>
      <c r="D20" s="23">
        <f t="shared" ca="1" si="2"/>
        <v>5701.1487440795436</v>
      </c>
      <c r="E20" s="23">
        <f t="shared" si="2"/>
        <v>46.217035162844475</v>
      </c>
      <c r="F20" s="23">
        <f t="shared" ca="1" si="2"/>
        <v>942.96417994463536</v>
      </c>
      <c r="G20" s="23">
        <f t="shared" si="2"/>
        <v>0</v>
      </c>
      <c r="H20" s="23">
        <f t="shared" si="2"/>
        <v>0</v>
      </c>
      <c r="I20" s="23">
        <f t="shared" si="2"/>
        <v>0</v>
      </c>
      <c r="J20" s="23">
        <f t="shared" si="2"/>
        <v>3.7289022092608051E-2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5442.1014519132596</v>
      </c>
      <c r="C26" s="39">
        <f>IF(ISERROR(B26*3.6/1000000/'E Balans VL '!Z12*100),0,B26*3.6/1000000/'E Balans VL '!Z12*100)</f>
        <v>0.11503740370838582</v>
      </c>
      <c r="D26" s="237" t="s">
        <v>754</v>
      </c>
      <c r="F26" s="6"/>
    </row>
    <row r="27" spans="1:18">
      <c r="A27" s="231" t="s">
        <v>53</v>
      </c>
      <c r="B27" s="33">
        <f>IF(ISERROR(TER_horeca_ele_kWh/1000),0,TER_horeca_ele_kWh/1000)</f>
        <v>764.608401786998</v>
      </c>
      <c r="C27" s="39">
        <f>IF(ISERROR(B27*3.6/1000000/'E Balans VL '!Z9*100),0,B27*3.6/1000000/'E Balans VL '!Z9*100)</f>
        <v>6.0273795328768739E-2</v>
      </c>
      <c r="D27" s="237" t="s">
        <v>754</v>
      </c>
      <c r="F27" s="6"/>
    </row>
    <row r="28" spans="1:18">
      <c r="A28" s="171" t="s">
        <v>52</v>
      </c>
      <c r="B28" s="33">
        <f>IF(ISERROR(TER_handel_ele_kWh/1000),0,TER_handel_ele_kWh/1000)</f>
        <v>3823.2844097665397</v>
      </c>
      <c r="C28" s="39">
        <f>IF(ISERROR(B28*3.6/1000000/'E Balans VL '!Z13*100),0,B28*3.6/1000000/'E Balans VL '!Z13*100)</f>
        <v>0.11096716137146073</v>
      </c>
      <c r="D28" s="237" t="s">
        <v>754</v>
      </c>
      <c r="F28" s="6"/>
    </row>
    <row r="29" spans="1:18">
      <c r="A29" s="231" t="s">
        <v>51</v>
      </c>
      <c r="B29" s="33">
        <f>IF(ISERROR(TER_gezond_ele_kWh/1000),0,TER_gezond_ele_kWh/1000)</f>
        <v>335.95781186463603</v>
      </c>
      <c r="C29" s="39">
        <f>IF(ISERROR(B29*3.6/1000000/'E Balans VL '!Z10*100),0,B29*3.6/1000000/'E Balans VL '!Z10*100)</f>
        <v>3.5381874162233193E-2</v>
      </c>
      <c r="D29" s="237" t="s">
        <v>754</v>
      </c>
      <c r="F29" s="6"/>
    </row>
    <row r="30" spans="1:18">
      <c r="A30" s="231" t="s">
        <v>50</v>
      </c>
      <c r="B30" s="33">
        <f>IF(ISERROR(TER_ander_ele_kWh/1000),0,TER_ander_ele_kWh/1000)</f>
        <v>4644.0466364137501</v>
      </c>
      <c r="C30" s="39">
        <f>IF(ISERROR(B30*3.6/1000000/'E Balans VL '!Z14*100),0,B30*3.6/1000000/'E Balans VL '!Z14*100)</f>
        <v>0.34254588858379009</v>
      </c>
      <c r="D30" s="237" t="s">
        <v>754</v>
      </c>
      <c r="F30" s="6"/>
    </row>
    <row r="31" spans="1:18">
      <c r="A31" s="231" t="s">
        <v>55</v>
      </c>
      <c r="B31" s="33">
        <f>IF(ISERROR(TER_onderwijs_ele_kWh/1000),0,TER_onderwijs_ele_kWh/1000)</f>
        <v>1666.6950420641401</v>
      </c>
      <c r="C31" s="39">
        <f>IF(ISERROR(B31*3.6/1000000/'E Balans VL '!Z11*100),0,B31*3.6/1000000/'E Balans VL '!Z11*100)</f>
        <v>0.41391845153815221</v>
      </c>
      <c r="D31" s="237" t="s">
        <v>754</v>
      </c>
    </row>
    <row r="32" spans="1:18">
      <c r="A32" s="231" t="s">
        <v>260</v>
      </c>
      <c r="B32" s="33">
        <f>IF(ISERROR(TER_rest_ele_kWh/1000),0,TER_rest_ele_kWh/1000)</f>
        <v>1871.6188523907899</v>
      </c>
      <c r="C32" s="39">
        <f>IF(ISERROR(B32*3.6/1000000/'E Balans VL '!Z8*100),0,B32*3.6/1000000/'E Balans VL '!Z8*100)</f>
        <v>1.5400938833687487E-2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1652.9322878856797</v>
      </c>
      <c r="C5" s="17">
        <f>IF(ISERROR('Eigen informatie GS &amp; warmtenet'!B59),0,'Eigen informatie GS &amp; warmtenet'!B59)</f>
        <v>0</v>
      </c>
      <c r="D5" s="30">
        <f>SUM(D6:D15)</f>
        <v>3264.2677699503433</v>
      </c>
      <c r="E5" s="17">
        <f>SUM(E6:E15)</f>
        <v>182.63597839721194</v>
      </c>
      <c r="F5" s="17">
        <f>SUM(F6:F15)</f>
        <v>562.27726135284911</v>
      </c>
      <c r="G5" s="18"/>
      <c r="H5" s="17"/>
      <c r="I5" s="17"/>
      <c r="J5" s="17">
        <f>SUM(J6:J15)</f>
        <v>1.20350981956676</v>
      </c>
      <c r="K5" s="17"/>
      <c r="L5" s="17"/>
      <c r="M5" s="17"/>
      <c r="N5" s="17">
        <f>SUM(N6:N15)</f>
        <v>327.56629205424144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80.367937127847</v>
      </c>
      <c r="C8" s="33"/>
      <c r="D8" s="37">
        <f>IF( ISERROR(IND_metaal_Gas_kWH/1000),0,IND_metaal_Gas_kWH/1000)*0.902</f>
        <v>0</v>
      </c>
      <c r="E8" s="33">
        <f>C30*'E Balans VL '!I18/100/3.6*1000000</f>
        <v>0.73890556179870603</v>
      </c>
      <c r="F8" s="33">
        <f>C30*'E Balans VL '!L18/100/3.6*1000000+C30*'E Balans VL '!N18/100/3.6*1000000</f>
        <v>7.535836783116471</v>
      </c>
      <c r="G8" s="34"/>
      <c r="H8" s="33"/>
      <c r="I8" s="33"/>
      <c r="J8" s="40">
        <f>C30*'E Balans VL '!D18/100/3.6*1000000+C30*'E Balans VL '!E18/100/3.6*1000000</f>
        <v>0</v>
      </c>
      <c r="K8" s="33"/>
      <c r="L8" s="33"/>
      <c r="M8" s="33"/>
      <c r="N8" s="33">
        <f>C30*'E Balans VL '!Y18/100/3.6*1000000</f>
        <v>1.1465814367377618</v>
      </c>
      <c r="O8" s="33"/>
      <c r="P8" s="33"/>
      <c r="R8" s="32"/>
    </row>
    <row r="9" spans="1:18">
      <c r="A9" s="6" t="s">
        <v>33</v>
      </c>
      <c r="B9" s="37">
        <f t="shared" si="0"/>
        <v>553.89040461247998</v>
      </c>
      <c r="C9" s="33"/>
      <c r="D9" s="37">
        <f>IF( ISERROR(IND_andere_gas_kWh/1000),0,IND_andere_gas_kWh/1000)*0.902</f>
        <v>1154.8446966385377</v>
      </c>
      <c r="E9" s="33">
        <f>C31*'E Balans VL '!I19/100/3.6*1000000</f>
        <v>161.91294824256121</v>
      </c>
      <c r="F9" s="33">
        <f>C31*'E Balans VL '!L19/100/3.6*1000000+C31*'E Balans VL '!N19/100/3.6*1000000</f>
        <v>445.09286575737974</v>
      </c>
      <c r="G9" s="34"/>
      <c r="H9" s="33"/>
      <c r="I9" s="33"/>
      <c r="J9" s="40">
        <f>C31*'E Balans VL '!D19/100/3.6*1000000+C31*'E Balans VL '!E19/100/3.6*1000000</f>
        <v>0</v>
      </c>
      <c r="K9" s="33"/>
      <c r="L9" s="33"/>
      <c r="M9" s="33"/>
      <c r="N9" s="33">
        <f>C31*'E Balans VL '!Y19/100/3.6*1000000</f>
        <v>183.013979915091</v>
      </c>
      <c r="O9" s="33"/>
      <c r="P9" s="33"/>
      <c r="R9" s="32"/>
    </row>
    <row r="10" spans="1:18">
      <c r="A10" s="6" t="s">
        <v>41</v>
      </c>
      <c r="B10" s="37">
        <f t="shared" si="0"/>
        <v>675.43380310116606</v>
      </c>
      <c r="C10" s="33"/>
      <c r="D10" s="37">
        <f>IF( ISERROR(IND_voed_gas_kWh/1000),0,IND_voed_gas_kWh/1000)*0.902</f>
        <v>860.90684629516431</v>
      </c>
      <c r="E10" s="33">
        <f>C32*'E Balans VL '!I20/100/3.6*1000000</f>
        <v>1.4288906831856716</v>
      </c>
      <c r="F10" s="33">
        <f>C32*'E Balans VL '!L20/100/3.6*1000000+C32*'E Balans VL '!N20/100/3.6*1000000</f>
        <v>42.944771136569962</v>
      </c>
      <c r="G10" s="34"/>
      <c r="H10" s="33"/>
      <c r="I10" s="33"/>
      <c r="J10" s="40">
        <f>C32*'E Balans VL '!D20/100/3.6*1000000+C32*'E Balans VL '!E20/100/3.6*1000000</f>
        <v>0</v>
      </c>
      <c r="K10" s="33"/>
      <c r="L10" s="33"/>
      <c r="M10" s="33"/>
      <c r="N10" s="33">
        <f>C32*'E Balans VL '!Y20/100/3.6*1000000</f>
        <v>46.611597757614341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7.3813114761646004</v>
      </c>
      <c r="C13" s="33"/>
      <c r="D13" s="37">
        <f>IF( ISERROR(IND_papier_gas_kWh/1000),0,IND_papier_gas_kWh/1000)*0.902</f>
        <v>50.20508683555871</v>
      </c>
      <c r="E13" s="33">
        <f>C35*'E Balans VL '!I23/100/3.6*1000000</f>
        <v>1.04723928918476E-2</v>
      </c>
      <c r="F13" s="33">
        <f>C35*'E Balans VL '!L23/100/3.6*1000000+C35*'E Balans VL '!N23/100/3.6*1000000</f>
        <v>0.18020556865384907</v>
      </c>
      <c r="G13" s="34"/>
      <c r="H13" s="33"/>
      <c r="I13" s="33"/>
      <c r="J13" s="40">
        <f>C35*'E Balans VL '!D23/100/3.6*1000000+C35*'E Balans VL '!E23/100/3.6*1000000</f>
        <v>1.1415891197639576E-3</v>
      </c>
      <c r="K13" s="33"/>
      <c r="L13" s="33"/>
      <c r="M13" s="33"/>
      <c r="N13" s="33">
        <f>C35*'E Balans VL '!Y23/100/3.6*1000000</f>
        <v>21.455725184769676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335.85883156802203</v>
      </c>
      <c r="C15" s="33"/>
      <c r="D15" s="37">
        <f>IF( ISERROR(IND_rest_gas_kWh/1000),0,IND_rest_gas_kWh/1000)*0.902</f>
        <v>1198.3111401810825</v>
      </c>
      <c r="E15" s="33">
        <f>C37*'E Balans VL '!I15/100/3.6*1000000</f>
        <v>18.544761516774511</v>
      </c>
      <c r="F15" s="33">
        <f>C37*'E Balans VL '!L15/100/3.6*1000000+C37*'E Balans VL '!N15/100/3.6*1000000</f>
        <v>66.523582107129187</v>
      </c>
      <c r="G15" s="34"/>
      <c r="H15" s="33"/>
      <c r="I15" s="33"/>
      <c r="J15" s="40">
        <f>C37*'E Balans VL '!D15/100/3.6*1000000+C37*'E Balans VL '!E15/100/3.6*1000000</f>
        <v>1.202368230446996</v>
      </c>
      <c r="K15" s="33"/>
      <c r="L15" s="33"/>
      <c r="M15" s="33"/>
      <c r="N15" s="33">
        <f>C37*'E Balans VL '!Y15/100/3.6*1000000</f>
        <v>75.338407760028687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1652.9322878856797</v>
      </c>
      <c r="C18" s="21">
        <f>C5+C16</f>
        <v>0</v>
      </c>
      <c r="D18" s="21">
        <f>MAX((D5+D16),0)</f>
        <v>3264.2677699503433</v>
      </c>
      <c r="E18" s="21">
        <f>MAX((E5+E16),0)</f>
        <v>182.63597839721194</v>
      </c>
      <c r="F18" s="21">
        <f>MAX((F5+F16),0)</f>
        <v>562.27726135284911</v>
      </c>
      <c r="G18" s="21"/>
      <c r="H18" s="21"/>
      <c r="I18" s="21"/>
      <c r="J18" s="21">
        <f>MAX((J5+J16),0)</f>
        <v>1.20350981956676</v>
      </c>
      <c r="K18" s="21"/>
      <c r="L18" s="21">
        <f>MAX((L5+L16),0)</f>
        <v>0</v>
      </c>
      <c r="M18" s="21"/>
      <c r="N18" s="21">
        <f>MAX((N5+N16),0)</f>
        <v>327.56629205424144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0.21265901404937762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351.51095063215064</v>
      </c>
      <c r="C22" s="23">
        <f ca="1">C18*C20</f>
        <v>0</v>
      </c>
      <c r="D22" s="23">
        <f>D18*D20</f>
        <v>659.38208952996945</v>
      </c>
      <c r="E22" s="23">
        <f>E18*E20</f>
        <v>41.458367096167109</v>
      </c>
      <c r="F22" s="23">
        <f>F18*F20</f>
        <v>150.12802878121073</v>
      </c>
      <c r="G22" s="23"/>
      <c r="H22" s="23"/>
      <c r="I22" s="23"/>
      <c r="J22" s="23">
        <f>J18*J20</f>
        <v>0.42604247612663299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80.367937127847</v>
      </c>
      <c r="C30" s="39">
        <f>IF(ISERROR(B30*3.6/1000000/'E Balans VL '!Z18*100),0,B30*3.6/1000000/'E Balans VL '!Z18*100)</f>
        <v>4.5546570739043108E-3</v>
      </c>
      <c r="D30" s="237" t="s">
        <v>754</v>
      </c>
    </row>
    <row r="31" spans="1:18">
      <c r="A31" s="6" t="s">
        <v>33</v>
      </c>
      <c r="B31" s="37">
        <f>IF( ISERROR(IND_ander_ele_kWh/1000),0,IND_ander_ele_kWh/1000)</f>
        <v>553.89040461247998</v>
      </c>
      <c r="C31" s="39">
        <f>IF(ISERROR(B31*3.6/1000000/'E Balans VL '!Z19*100),0,B31*3.6/1000000/'E Balans VL '!Z19*100)</f>
        <v>2.5122162393718766E-2</v>
      </c>
      <c r="D31" s="237" t="s">
        <v>754</v>
      </c>
    </row>
    <row r="32" spans="1:18">
      <c r="A32" s="171" t="s">
        <v>41</v>
      </c>
      <c r="B32" s="37">
        <f>IF( ISERROR(IND_voed_ele_kWh/1000),0,IND_voed_ele_kWh/1000)</f>
        <v>675.43380310116606</v>
      </c>
      <c r="C32" s="39">
        <f>IF(ISERROR(B32*3.6/1000000/'E Balans VL '!Z20*100),0,B32*3.6/1000000/'E Balans VL '!Z20*100)</f>
        <v>2.0894233740488141E-2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7.3813114761646004</v>
      </c>
      <c r="C35" s="39">
        <f>IF(ISERROR(B35*3.6/1000000/'E Balans VL '!Z22*100),0,B35*3.6/1000000/'E Balans VL '!Z22*100)</f>
        <v>1.3276676402962349E-3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335.85883156802203</v>
      </c>
      <c r="C37" s="39">
        <f>IF(ISERROR(B37*3.6/1000000/'E Balans VL '!Z15*100),0,B37*3.6/1000000/'E Balans VL '!Z15*100)</f>
        <v>2.6620937140499905E-3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169.18998270918559</v>
      </c>
      <c r="C5" s="17">
        <f>'Eigen informatie GS &amp; warmtenet'!B60</f>
        <v>0</v>
      </c>
      <c r="D5" s="30">
        <f>IF(ISERROR(SUM(LB_lb_gas_kWh,LB_rest_gas_kWh,onbekend_gas_kWh)/1000),0,SUM(LB_lb_gas_kWh,LB_rest_gas_kWh,onbekend_gas_kWh)/1000)*0.902</f>
        <v>6423.3786122869124</v>
      </c>
      <c r="E5" s="17">
        <f>B17*'E Balans VL '!I25/3.6*1000000/100</f>
        <v>4.9730103576760483</v>
      </c>
      <c r="F5" s="17">
        <f>B17*('E Balans VL '!L25/3.6*1000000+'E Balans VL '!N25/3.6*1000000)/100</f>
        <v>704.83632541967268</v>
      </c>
      <c r="G5" s="18"/>
      <c r="H5" s="17"/>
      <c r="I5" s="17"/>
      <c r="J5" s="17">
        <f>('E Balans VL '!D25+'E Balans VL '!E25)/3.6*1000000*landbouw!B17/100</f>
        <v>24.511995098091234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169.18998270918559</v>
      </c>
      <c r="C8" s="21">
        <f>C5+C6</f>
        <v>0</v>
      </c>
      <c r="D8" s="21">
        <f>MAX((D5+D6),0)</f>
        <v>6423.3786122869124</v>
      </c>
      <c r="E8" s="21">
        <f>MAX((E5+E6),0)</f>
        <v>4.9730103576760483</v>
      </c>
      <c r="F8" s="21">
        <f>MAX((F5+F6),0)</f>
        <v>704.83632541967268</v>
      </c>
      <c r="G8" s="21"/>
      <c r="H8" s="21"/>
      <c r="I8" s="21"/>
      <c r="J8" s="21">
        <f>MAX((J5+J6),0)</f>
        <v>24.511995098091234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0.21265901404937762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35.979774909966658</v>
      </c>
      <c r="C12" s="23">
        <f ca="1">C8*C10</f>
        <v>0</v>
      </c>
      <c r="D12" s="23">
        <f>D8*D10</f>
        <v>1297.5224796819564</v>
      </c>
      <c r="E12" s="23">
        <f>E8*E10</f>
        <v>1.1288733511924629</v>
      </c>
      <c r="F12" s="23">
        <f>F8*F10</f>
        <v>188.19129888705262</v>
      </c>
      <c r="G12" s="23"/>
      <c r="H12" s="23"/>
      <c r="I12" s="23"/>
      <c r="J12" s="23">
        <f>J8*J10</f>
        <v>8.6772462647242961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2.4008589363815908E-2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40.265024039122324</v>
      </c>
      <c r="C26" s="247">
        <f>B26*'GWP N2O_CH4'!B5</f>
        <v>845.56550482156877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4.3915894796276298</v>
      </c>
      <c r="C27" s="247">
        <f>B27*'GWP N2O_CH4'!B5</f>
        <v>92.223379072180222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0.59323750663794461</v>
      </c>
      <c r="C28" s="247">
        <f>B28*'GWP N2O_CH4'!B4</f>
        <v>183.90362705776283</v>
      </c>
      <c r="D28" s="50"/>
    </row>
    <row r="29" spans="1:4">
      <c r="A29" s="41" t="s">
        <v>277</v>
      </c>
      <c r="B29" s="247">
        <f>B34*'ha_N2O bodem landbouw'!B4</f>
        <v>4.8123407007794885</v>
      </c>
      <c r="C29" s="247">
        <f>B29*'GWP N2O_CH4'!B4</f>
        <v>1491.8256172416413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1.0981595638540479E-3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3.6245089562288261E-4</v>
      </c>
      <c r="C5" s="463" t="s">
        <v>211</v>
      </c>
      <c r="D5" s="448">
        <f>SUM(D6:D11)</f>
        <v>1.2976639295010362E-3</v>
      </c>
      <c r="E5" s="448">
        <f>SUM(E6:E11)</f>
        <v>1.9426566064603158E-3</v>
      </c>
      <c r="F5" s="461" t="s">
        <v>211</v>
      </c>
      <c r="G5" s="448">
        <f>SUM(G6:G11)</f>
        <v>0.58226410364483716</v>
      </c>
      <c r="H5" s="448">
        <f>SUM(H6:H11)</f>
        <v>0.149266164260829</v>
      </c>
      <c r="I5" s="463" t="s">
        <v>211</v>
      </c>
      <c r="J5" s="463" t="s">
        <v>211</v>
      </c>
      <c r="K5" s="463" t="s">
        <v>211</v>
      </c>
      <c r="L5" s="463" t="s">
        <v>211</v>
      </c>
      <c r="M5" s="448">
        <f>SUM(M6:M11)</f>
        <v>3.8449072558502724E-2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8.259871861876314E-5</v>
      </c>
      <c r="C6" s="449"/>
      <c r="D6" s="962">
        <f>vkm_2011_GW_PW*SUMIFS(TableVerdeelsleutelVkm[CNG],TableVerdeelsleutelVkm[Voertuigtype],"Lichte voertuigen")*SUMIFS(TableECFTransport[EnergieConsumptieFactor (PJ per km)],TableECFTransport[Index],CONCATENATE($A6,"_CNG_CNG"))</f>
        <v>2.4774874850402178E-4</v>
      </c>
      <c r="E6" s="962">
        <f>vkm_2011_GW_PW*SUMIFS(TableVerdeelsleutelVkm[LPG],TableVerdeelsleutelVkm[Voertuigtype],"Lichte voertuigen")*SUMIFS(TableECFTransport[EnergieConsumptieFactor (PJ per km)],TableECFTransport[Index],CONCATENATE($A6,"_LPG_LPG"))</f>
        <v>3.3846037781039132E-4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8.7510338436899468E-2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2.8173640802912774E-2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5.9489398042154662E-3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7.6003109366825491E-3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2.3160151778666581E-6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4.4413693430263784E-4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7.8283877685791879E-5</v>
      </c>
      <c r="C8" s="449"/>
      <c r="D8" s="451">
        <f>vkm_2011_NGW_PW*SUMIFS(TableVerdeelsleutelVkm[CNG],TableVerdeelsleutelVkm[Voertuigtype],"Lichte voertuigen")*SUMIFS(TableECFTransport[EnergieConsumptieFactor (PJ per km)],TableECFTransport[Index],CONCATENATE($A8,"_CNG_CNG"))</f>
        <v>4.1748894689808364E-4</v>
      </c>
      <c r="E8" s="451">
        <f>vkm_2011_NGW_PW*SUMIFS(TableVerdeelsleutelVkm[LPG],TableVerdeelsleutelVkm[Voertuigtype],"Lichte voertuigen")*SUMIFS(TableECFTransport[EnergieConsumptieFactor (PJ per km)],TableECFTransport[Index],CONCATENATE($A8,"_LPG_LPG"))</f>
        <v>5.2820870013936408E-4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0.12726930821798391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4.6136524618349405E-2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8.8049247678915719E-3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1.9250664816730524E-3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5.5225063671767827E-7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1.1249347330261444E-4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2.0156829931832759E-4</v>
      </c>
      <c r="C10" s="449"/>
      <c r="D10" s="451">
        <f>vkm_2011_SW_PW*SUMIFS(TableVerdeelsleutelVkm[CNG],TableVerdeelsleutelVkm[Voertuigtype],"Lichte voertuigen")*SUMIFS(TableECFTransport[EnergieConsumptieFactor (PJ per km)],TableECFTransport[Index],CONCATENATE($A10,"_CNG_CNG"))</f>
        <v>6.3242623409893084E-4</v>
      </c>
      <c r="E10" s="451">
        <f>vkm_2011_SW_PW*SUMIFS(TableVerdeelsleutelVkm[LPG],TableVerdeelsleutelVkm[Voertuigtype],"Lichte voertuigen")*SUMIFS(TableECFTransport[EnergieConsumptieFactor (PJ per km)],TableECFTransport[Index],CONCATENATE($A10,"_LPG_LPG"))</f>
        <v>1.0759875285105604E-3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0.24801756318403148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7.4916952012580557E-2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1.6713881010238244E-2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0.10994151638756665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3.6178561171669847E-5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6.4246965685521911E-3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100.6808043396896</v>
      </c>
      <c r="C14" s="21"/>
      <c r="D14" s="21">
        <f t="shared" ref="D14:M14" si="0">((D5)*10^9/3600)+D12</f>
        <v>360.46220263917672</v>
      </c>
      <c r="E14" s="21">
        <f t="shared" si="0"/>
        <v>539.62683512786555</v>
      </c>
      <c r="F14" s="21"/>
      <c r="G14" s="21">
        <f t="shared" si="0"/>
        <v>161740.02879023255</v>
      </c>
      <c r="H14" s="21">
        <f t="shared" si="0"/>
        <v>41462.823405785835</v>
      </c>
      <c r="I14" s="21"/>
      <c r="J14" s="21"/>
      <c r="K14" s="21"/>
      <c r="L14" s="21"/>
      <c r="M14" s="21">
        <f t="shared" si="0"/>
        <v>10680.297932917423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0.21265901404937762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21.410680584576689</v>
      </c>
      <c r="C18" s="23"/>
      <c r="D18" s="23">
        <f t="shared" ref="D18:M18" si="1">D14*D16</f>
        <v>72.813364933113704</v>
      </c>
      <c r="E18" s="23">
        <f t="shared" si="1"/>
        <v>122.49529157402549</v>
      </c>
      <c r="F18" s="23"/>
      <c r="G18" s="23">
        <f t="shared" si="1"/>
        <v>43184.58768699209</v>
      </c>
      <c r="H18" s="23">
        <f t="shared" si="1"/>
        <v>10324.243028040673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1.5768370792776425E-2</v>
      </c>
      <c r="H50" s="321">
        <f t="shared" si="2"/>
        <v>0</v>
      </c>
      <c r="I50" s="321">
        <f t="shared" si="2"/>
        <v>0</v>
      </c>
      <c r="J50" s="321">
        <f t="shared" si="2"/>
        <v>0</v>
      </c>
      <c r="K50" s="321">
        <f t="shared" si="2"/>
        <v>0</v>
      </c>
      <c r="L50" s="321">
        <f t="shared" si="2"/>
        <v>0</v>
      </c>
      <c r="M50" s="321">
        <f t="shared" si="2"/>
        <v>8.9557385035237606E-4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1.5768370792776425E-2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8.9557385035237606E-4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4380.102997993451</v>
      </c>
      <c r="H54" s="21">
        <f t="shared" si="3"/>
        <v>0</v>
      </c>
      <c r="I54" s="21">
        <f t="shared" si="3"/>
        <v>0</v>
      </c>
      <c r="J54" s="21">
        <f t="shared" si="3"/>
        <v>0</v>
      </c>
      <c r="K54" s="21">
        <f t="shared" si="3"/>
        <v>0</v>
      </c>
      <c r="L54" s="21">
        <f t="shared" si="3"/>
        <v>0</v>
      </c>
      <c r="M54" s="21">
        <f t="shared" si="3"/>
        <v>248.77051398677114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0.21265901404937762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1169.4875004642515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2189.9195098266073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2189.9195098266073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19737.104606200115</v>
      </c>
      <c r="D10" s="718">
        <f ca="1">tertiair!C16</f>
        <v>0</v>
      </c>
      <c r="E10" s="718">
        <f ca="1">tertiair!D16</f>
        <v>28223.508634057143</v>
      </c>
      <c r="F10" s="718">
        <f>tertiair!E16</f>
        <v>203.59927384512983</v>
      </c>
      <c r="G10" s="718">
        <f ca="1">tertiair!F16</f>
        <v>3531.7010484817802</v>
      </c>
      <c r="H10" s="718">
        <f>tertiair!G16</f>
        <v>0</v>
      </c>
      <c r="I10" s="718">
        <f>tertiair!H16</f>
        <v>0</v>
      </c>
      <c r="J10" s="718">
        <f>tertiair!I16</f>
        <v>0</v>
      </c>
      <c r="K10" s="718">
        <f>tertiair!J16</f>
        <v>0.10533622060058771</v>
      </c>
      <c r="L10" s="718">
        <f>tertiair!K16</f>
        <v>0</v>
      </c>
      <c r="M10" s="718">
        <f ca="1">tertiair!L16</f>
        <v>0</v>
      </c>
      <c r="N10" s="718">
        <f>tertiair!M16</f>
        <v>0</v>
      </c>
      <c r="O10" s="718">
        <f ca="1">tertiair!N16</f>
        <v>4145.4481782922167</v>
      </c>
      <c r="P10" s="718">
        <f>tertiair!O16</f>
        <v>3.1266666666666669</v>
      </c>
      <c r="Q10" s="719">
        <f>tertiair!P16</f>
        <v>38.133333333333333</v>
      </c>
      <c r="R10" s="721">
        <f ca="1">SUM(C10:Q10)</f>
        <v>55882.727077096977</v>
      </c>
      <c r="S10" s="67"/>
    </row>
    <row r="11" spans="1:19" s="474" customFormat="1">
      <c r="A11" s="870" t="s">
        <v>225</v>
      </c>
      <c r="B11" s="875"/>
      <c r="C11" s="718">
        <f>huishoudens!B8</f>
        <v>36363.47403137933</v>
      </c>
      <c r="D11" s="718">
        <f>huishoudens!C8</f>
        <v>0</v>
      </c>
      <c r="E11" s="718">
        <f>huishoudens!D8</f>
        <v>138977.45910646295</v>
      </c>
      <c r="F11" s="718">
        <f>huishoudens!E8</f>
        <v>2018.5424607478355</v>
      </c>
      <c r="G11" s="718">
        <f>huishoudens!F8</f>
        <v>8452.5255884477065</v>
      </c>
      <c r="H11" s="718">
        <f>huishoudens!G8</f>
        <v>0</v>
      </c>
      <c r="I11" s="718">
        <f>huishoudens!H8</f>
        <v>0</v>
      </c>
      <c r="J11" s="718">
        <f>huishoudens!I8</f>
        <v>0</v>
      </c>
      <c r="K11" s="718">
        <f>huishoudens!J8</f>
        <v>0</v>
      </c>
      <c r="L11" s="718">
        <f>huishoudens!K8</f>
        <v>0</v>
      </c>
      <c r="M11" s="718">
        <f>huishoudens!L8</f>
        <v>0</v>
      </c>
      <c r="N11" s="718">
        <f>huishoudens!M8</f>
        <v>0</v>
      </c>
      <c r="O11" s="718">
        <f>huishoudens!N8</f>
        <v>9172.1108351803723</v>
      </c>
      <c r="P11" s="718">
        <f>huishoudens!O8</f>
        <v>284.52666666666664</v>
      </c>
      <c r="Q11" s="719">
        <f>huishoudens!P8</f>
        <v>877.06666666666661</v>
      </c>
      <c r="R11" s="721">
        <f>SUM(C11:Q11)</f>
        <v>196145.70535555156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1652.9322878856797</v>
      </c>
      <c r="D13" s="718">
        <f>industrie!C18</f>
        <v>0</v>
      </c>
      <c r="E13" s="718">
        <f>industrie!D18</f>
        <v>3264.2677699503433</v>
      </c>
      <c r="F13" s="718">
        <f>industrie!E18</f>
        <v>182.63597839721194</v>
      </c>
      <c r="G13" s="718">
        <f>industrie!F18</f>
        <v>562.27726135284911</v>
      </c>
      <c r="H13" s="718">
        <f>industrie!G18</f>
        <v>0</v>
      </c>
      <c r="I13" s="718">
        <f>industrie!H18</f>
        <v>0</v>
      </c>
      <c r="J13" s="718">
        <f>industrie!I18</f>
        <v>0</v>
      </c>
      <c r="K13" s="718">
        <f>industrie!J18</f>
        <v>1.20350981956676</v>
      </c>
      <c r="L13" s="718">
        <f>industrie!K18</f>
        <v>0</v>
      </c>
      <c r="M13" s="718">
        <f>industrie!L18</f>
        <v>0</v>
      </c>
      <c r="N13" s="718">
        <f>industrie!M18</f>
        <v>0</v>
      </c>
      <c r="O13" s="718">
        <f>industrie!N18</f>
        <v>327.56629205424144</v>
      </c>
      <c r="P13" s="718">
        <f>industrie!O18</f>
        <v>0</v>
      </c>
      <c r="Q13" s="719">
        <f>industrie!P18</f>
        <v>0</v>
      </c>
      <c r="R13" s="721">
        <f>SUM(C13:Q13)</f>
        <v>5990.883099459892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57753.510925465118</v>
      </c>
      <c r="D15" s="723">
        <f t="shared" ref="D15:Q15" ca="1" si="0">SUM(D9:D14)</f>
        <v>0</v>
      </c>
      <c r="E15" s="723">
        <f t="shared" ca="1" si="0"/>
        <v>170465.23551047043</v>
      </c>
      <c r="F15" s="723">
        <f t="shared" si="0"/>
        <v>2404.7777129901774</v>
      </c>
      <c r="G15" s="723">
        <f t="shared" ca="1" si="0"/>
        <v>12546.503898282335</v>
      </c>
      <c r="H15" s="723">
        <f t="shared" si="0"/>
        <v>0</v>
      </c>
      <c r="I15" s="723">
        <f t="shared" si="0"/>
        <v>0</v>
      </c>
      <c r="J15" s="723">
        <f t="shared" si="0"/>
        <v>0</v>
      </c>
      <c r="K15" s="723">
        <f t="shared" si="0"/>
        <v>1.3088460401673476</v>
      </c>
      <c r="L15" s="723">
        <f t="shared" si="0"/>
        <v>0</v>
      </c>
      <c r="M15" s="723">
        <f t="shared" ca="1" si="0"/>
        <v>0</v>
      </c>
      <c r="N15" s="723">
        <f t="shared" si="0"/>
        <v>0</v>
      </c>
      <c r="O15" s="723">
        <f t="shared" ca="1" si="0"/>
        <v>13645.125305526832</v>
      </c>
      <c r="P15" s="723">
        <f t="shared" si="0"/>
        <v>287.65333333333331</v>
      </c>
      <c r="Q15" s="724">
        <f t="shared" si="0"/>
        <v>915.19999999999993</v>
      </c>
      <c r="R15" s="725">
        <f ca="1">SUM(R9:R14)</f>
        <v>258019.31553210845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4380.102997993451</v>
      </c>
      <c r="I18" s="718">
        <f>transport!H54</f>
        <v>0</v>
      </c>
      <c r="J18" s="718">
        <f>transport!I54</f>
        <v>0</v>
      </c>
      <c r="K18" s="718">
        <f>transport!J54</f>
        <v>0</v>
      </c>
      <c r="L18" s="718">
        <f>transport!K54</f>
        <v>0</v>
      </c>
      <c r="M18" s="718">
        <f>transport!L54</f>
        <v>0</v>
      </c>
      <c r="N18" s="718">
        <f>transport!M54</f>
        <v>248.77051398677114</v>
      </c>
      <c r="O18" s="718">
        <f>transport!N54</f>
        <v>0</v>
      </c>
      <c r="P18" s="718">
        <f>transport!O54</f>
        <v>0</v>
      </c>
      <c r="Q18" s="719">
        <f>transport!P54</f>
        <v>0</v>
      </c>
      <c r="R18" s="721">
        <f>SUM(C18:Q18)</f>
        <v>4628.8735119802222</v>
      </c>
      <c r="S18" s="67"/>
    </row>
    <row r="19" spans="1:19" s="474" customFormat="1" ht="15" thickBot="1">
      <c r="A19" s="870" t="s">
        <v>307</v>
      </c>
      <c r="B19" s="875"/>
      <c r="C19" s="727">
        <f>transport!B14</f>
        <v>100.6808043396896</v>
      </c>
      <c r="D19" s="727">
        <f>transport!C14</f>
        <v>0</v>
      </c>
      <c r="E19" s="727">
        <f>transport!D14</f>
        <v>360.46220263917672</v>
      </c>
      <c r="F19" s="727">
        <f>transport!E14</f>
        <v>539.62683512786555</v>
      </c>
      <c r="G19" s="727">
        <f>transport!F14</f>
        <v>0</v>
      </c>
      <c r="H19" s="727">
        <f>transport!G14</f>
        <v>161740.02879023255</v>
      </c>
      <c r="I19" s="727">
        <f>transport!H14</f>
        <v>41462.823405785835</v>
      </c>
      <c r="J19" s="727">
        <f>transport!I14</f>
        <v>0</v>
      </c>
      <c r="K19" s="727">
        <f>transport!J14</f>
        <v>0</v>
      </c>
      <c r="L19" s="727">
        <f>transport!K14</f>
        <v>0</v>
      </c>
      <c r="M19" s="727">
        <f>transport!L14</f>
        <v>0</v>
      </c>
      <c r="N19" s="727">
        <f>transport!M14</f>
        <v>10680.297932917423</v>
      </c>
      <c r="O19" s="727">
        <f>transport!N14</f>
        <v>0</v>
      </c>
      <c r="P19" s="727">
        <f>transport!O14</f>
        <v>0</v>
      </c>
      <c r="Q19" s="728">
        <f>transport!P14</f>
        <v>0</v>
      </c>
      <c r="R19" s="729">
        <f>SUM(C19:Q19)</f>
        <v>214883.91997104255</v>
      </c>
      <c r="S19" s="67"/>
    </row>
    <row r="20" spans="1:19" s="474" customFormat="1" ht="15.75" thickBot="1">
      <c r="A20" s="730" t="s">
        <v>230</v>
      </c>
      <c r="B20" s="878"/>
      <c r="C20" s="873">
        <f>SUM(C17:C19)</f>
        <v>100.6808043396896</v>
      </c>
      <c r="D20" s="731">
        <f t="shared" ref="D20:R20" si="1">SUM(D17:D19)</f>
        <v>0</v>
      </c>
      <c r="E20" s="731">
        <f t="shared" si="1"/>
        <v>360.46220263917672</v>
      </c>
      <c r="F20" s="731">
        <f t="shared" si="1"/>
        <v>539.62683512786555</v>
      </c>
      <c r="G20" s="731">
        <f t="shared" si="1"/>
        <v>0</v>
      </c>
      <c r="H20" s="731">
        <f t="shared" si="1"/>
        <v>166120.13178822599</v>
      </c>
      <c r="I20" s="731">
        <f t="shared" si="1"/>
        <v>41462.823405785835</v>
      </c>
      <c r="J20" s="731">
        <f t="shared" si="1"/>
        <v>0</v>
      </c>
      <c r="K20" s="731">
        <f t="shared" si="1"/>
        <v>0</v>
      </c>
      <c r="L20" s="731">
        <f t="shared" si="1"/>
        <v>0</v>
      </c>
      <c r="M20" s="731">
        <f t="shared" si="1"/>
        <v>0</v>
      </c>
      <c r="N20" s="731">
        <f t="shared" si="1"/>
        <v>10929.068446904193</v>
      </c>
      <c r="O20" s="731">
        <f t="shared" si="1"/>
        <v>0</v>
      </c>
      <c r="P20" s="731">
        <f t="shared" si="1"/>
        <v>0</v>
      </c>
      <c r="Q20" s="732">
        <f t="shared" si="1"/>
        <v>0</v>
      </c>
      <c r="R20" s="733">
        <f t="shared" si="1"/>
        <v>219512.79348302278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169.18998270918559</v>
      </c>
      <c r="D22" s="727">
        <f>+landbouw!C8</f>
        <v>0</v>
      </c>
      <c r="E22" s="727">
        <f>+landbouw!D8</f>
        <v>6423.3786122869124</v>
      </c>
      <c r="F22" s="727">
        <f>+landbouw!E8</f>
        <v>4.9730103576760483</v>
      </c>
      <c r="G22" s="727">
        <f>+landbouw!F8</f>
        <v>704.83632541967268</v>
      </c>
      <c r="H22" s="727">
        <f>+landbouw!G8</f>
        <v>0</v>
      </c>
      <c r="I22" s="727">
        <f>+landbouw!H8</f>
        <v>0</v>
      </c>
      <c r="J22" s="727">
        <f>+landbouw!I8</f>
        <v>0</v>
      </c>
      <c r="K22" s="727">
        <f>+landbouw!J8</f>
        <v>24.511995098091234</v>
      </c>
      <c r="L22" s="727">
        <f>+landbouw!K8</f>
        <v>0</v>
      </c>
      <c r="M22" s="727">
        <f>+landbouw!L8</f>
        <v>0</v>
      </c>
      <c r="N22" s="727">
        <f>+landbouw!M8</f>
        <v>0</v>
      </c>
      <c r="O22" s="727">
        <f>+landbouw!N8</f>
        <v>0</v>
      </c>
      <c r="P22" s="727">
        <f>+landbouw!O8</f>
        <v>0</v>
      </c>
      <c r="Q22" s="728">
        <f>+landbouw!P8</f>
        <v>0</v>
      </c>
      <c r="R22" s="729">
        <f>SUM(C22:Q22)</f>
        <v>7326.8899258715383</v>
      </c>
      <c r="S22" s="67"/>
    </row>
    <row r="23" spans="1:19" s="474" customFormat="1" ht="17.25" thickTop="1" thickBot="1">
      <c r="A23" s="734" t="s">
        <v>116</v>
      </c>
      <c r="B23" s="864"/>
      <c r="C23" s="735">
        <f ca="1">C20+C15+C22</f>
        <v>58023.38171251399</v>
      </c>
      <c r="D23" s="735">
        <f t="shared" ref="D23:Q23" ca="1" si="2">D20+D15+D22</f>
        <v>0</v>
      </c>
      <c r="E23" s="735">
        <f t="shared" ca="1" si="2"/>
        <v>177249.07632539651</v>
      </c>
      <c r="F23" s="735">
        <f t="shared" si="2"/>
        <v>2949.3775584757191</v>
      </c>
      <c r="G23" s="735">
        <f t="shared" ca="1" si="2"/>
        <v>13251.340223702007</v>
      </c>
      <c r="H23" s="735">
        <f t="shared" si="2"/>
        <v>166120.13178822599</v>
      </c>
      <c r="I23" s="735">
        <f t="shared" si="2"/>
        <v>41462.823405785835</v>
      </c>
      <c r="J23" s="735">
        <f t="shared" si="2"/>
        <v>0</v>
      </c>
      <c r="K23" s="735">
        <f t="shared" si="2"/>
        <v>25.820841138258579</v>
      </c>
      <c r="L23" s="735">
        <f t="shared" si="2"/>
        <v>0</v>
      </c>
      <c r="M23" s="735">
        <f t="shared" ca="1" si="2"/>
        <v>0</v>
      </c>
      <c r="N23" s="735">
        <f t="shared" si="2"/>
        <v>10929.068446904193</v>
      </c>
      <c r="O23" s="735">
        <f t="shared" ca="1" si="2"/>
        <v>13645.125305526832</v>
      </c>
      <c r="P23" s="735">
        <f t="shared" si="2"/>
        <v>287.65333333333331</v>
      </c>
      <c r="Q23" s="736">
        <f t="shared" si="2"/>
        <v>915.19999999999993</v>
      </c>
      <c r="R23" s="737">
        <f ca="1">R20+R15+R22</f>
        <v>484858.99894100276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4197.2732057439453</v>
      </c>
      <c r="D36" s="718">
        <f ca="1">tertiair!C20</f>
        <v>0</v>
      </c>
      <c r="E36" s="718">
        <f ca="1">tertiair!D20</f>
        <v>5701.1487440795436</v>
      </c>
      <c r="F36" s="718">
        <f>tertiair!E20</f>
        <v>46.217035162844475</v>
      </c>
      <c r="G36" s="718">
        <f ca="1">tertiair!F20</f>
        <v>942.96417994463536</v>
      </c>
      <c r="H36" s="718">
        <f>tertiair!G20</f>
        <v>0</v>
      </c>
      <c r="I36" s="718">
        <f>tertiair!H20</f>
        <v>0</v>
      </c>
      <c r="J36" s="718">
        <f>tertiair!I20</f>
        <v>0</v>
      </c>
      <c r="K36" s="718">
        <f>tertiair!J20</f>
        <v>3.7289022092608051E-2</v>
      </c>
      <c r="L36" s="718">
        <f>tertiair!K20</f>
        <v>0</v>
      </c>
      <c r="M36" s="718">
        <f ca="1">tertiair!L20</f>
        <v>0</v>
      </c>
      <c r="N36" s="718">
        <f>tertiair!M20</f>
        <v>0</v>
      </c>
      <c r="O36" s="718">
        <f ca="1">tertiair!N20</f>
        <v>0</v>
      </c>
      <c r="P36" s="718">
        <f>tertiair!O20</f>
        <v>0</v>
      </c>
      <c r="Q36" s="828">
        <f>tertiair!P20</f>
        <v>0</v>
      </c>
      <c r="R36" s="917">
        <f ca="1">SUM(C36:Q36)</f>
        <v>10887.640453953063</v>
      </c>
    </row>
    <row r="37" spans="1:18">
      <c r="A37" s="885" t="s">
        <v>225</v>
      </c>
      <c r="B37" s="892"/>
      <c r="C37" s="718">
        <f ca="1">huishoudens!B12</f>
        <v>7733.0205349232756</v>
      </c>
      <c r="D37" s="718">
        <f ca="1">huishoudens!C12</f>
        <v>0</v>
      </c>
      <c r="E37" s="718">
        <f>huishoudens!D12</f>
        <v>28073.446739505518</v>
      </c>
      <c r="F37" s="718">
        <f>huishoudens!E12</f>
        <v>458.20913858975871</v>
      </c>
      <c r="G37" s="718">
        <f>huishoudens!F12</f>
        <v>2256.8243321155378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38521.500745134093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351.51095063215064</v>
      </c>
      <c r="D39" s="718">
        <f ca="1">industrie!C22</f>
        <v>0</v>
      </c>
      <c r="E39" s="718">
        <f>industrie!D22</f>
        <v>659.38208952996945</v>
      </c>
      <c r="F39" s="718">
        <f>industrie!E22</f>
        <v>41.458367096167109</v>
      </c>
      <c r="G39" s="718">
        <f>industrie!F22</f>
        <v>150.12802878121073</v>
      </c>
      <c r="H39" s="718">
        <f>industrie!G22</f>
        <v>0</v>
      </c>
      <c r="I39" s="718">
        <f>industrie!H22</f>
        <v>0</v>
      </c>
      <c r="J39" s="718">
        <f>industrie!I22</f>
        <v>0</v>
      </c>
      <c r="K39" s="718">
        <f>industrie!J22</f>
        <v>0.42604247612663299</v>
      </c>
      <c r="L39" s="718">
        <f>industrie!K22</f>
        <v>0</v>
      </c>
      <c r="M39" s="718">
        <f>industrie!L22</f>
        <v>0</v>
      </c>
      <c r="N39" s="718">
        <f>industrie!M22</f>
        <v>0</v>
      </c>
      <c r="O39" s="718">
        <f>industrie!N22</f>
        <v>0</v>
      </c>
      <c r="P39" s="718">
        <f>industrie!O22</f>
        <v>0</v>
      </c>
      <c r="Q39" s="828">
        <f>industrie!P22</f>
        <v>0</v>
      </c>
      <c r="R39" s="918">
        <f ca="1">SUM(C39:Q39)</f>
        <v>1202.9054785156247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12281.804691299372</v>
      </c>
      <c r="D41" s="763">
        <f t="shared" ref="D41:R41" ca="1" si="4">SUM(D35:D40)</f>
        <v>0</v>
      </c>
      <c r="E41" s="763">
        <f t="shared" ca="1" si="4"/>
        <v>34433.977573115037</v>
      </c>
      <c r="F41" s="763">
        <f t="shared" si="4"/>
        <v>545.88454084877026</v>
      </c>
      <c r="G41" s="763">
        <f t="shared" ca="1" si="4"/>
        <v>3349.9165408413837</v>
      </c>
      <c r="H41" s="763">
        <f t="shared" si="4"/>
        <v>0</v>
      </c>
      <c r="I41" s="763">
        <f t="shared" si="4"/>
        <v>0</v>
      </c>
      <c r="J41" s="763">
        <f t="shared" si="4"/>
        <v>0</v>
      </c>
      <c r="K41" s="763">
        <f t="shared" si="4"/>
        <v>0.46333149821924102</v>
      </c>
      <c r="L41" s="763">
        <f t="shared" si="4"/>
        <v>0</v>
      </c>
      <c r="M41" s="763">
        <f t="shared" ca="1" si="4"/>
        <v>0</v>
      </c>
      <c r="N41" s="763">
        <f t="shared" si="4"/>
        <v>0</v>
      </c>
      <c r="O41" s="763">
        <f t="shared" ca="1" si="4"/>
        <v>0</v>
      </c>
      <c r="P41" s="763">
        <f t="shared" si="4"/>
        <v>0</v>
      </c>
      <c r="Q41" s="764">
        <f t="shared" si="4"/>
        <v>0</v>
      </c>
      <c r="R41" s="765">
        <f t="shared" ca="1" si="4"/>
        <v>50612.046677602782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1169.4875004642515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1169.4875004642515</v>
      </c>
    </row>
    <row r="45" spans="1:18" ht="15" thickBot="1">
      <c r="A45" s="888" t="s">
        <v>307</v>
      </c>
      <c r="B45" s="898"/>
      <c r="C45" s="727">
        <f ca="1">transport!B18</f>
        <v>21.410680584576689</v>
      </c>
      <c r="D45" s="727">
        <f>transport!C18</f>
        <v>0</v>
      </c>
      <c r="E45" s="727">
        <f>transport!D18</f>
        <v>72.813364933113704</v>
      </c>
      <c r="F45" s="727">
        <f>transport!E18</f>
        <v>122.49529157402549</v>
      </c>
      <c r="G45" s="727">
        <f>transport!F18</f>
        <v>0</v>
      </c>
      <c r="H45" s="727">
        <f>transport!G18</f>
        <v>43184.58768699209</v>
      </c>
      <c r="I45" s="727">
        <f>transport!H18</f>
        <v>10324.243028040673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53725.550052124483</v>
      </c>
    </row>
    <row r="46" spans="1:18" ht="15.75" thickBot="1">
      <c r="A46" s="886" t="s">
        <v>230</v>
      </c>
      <c r="B46" s="899"/>
      <c r="C46" s="763">
        <f t="shared" ref="C46:R46" ca="1" si="5">SUM(C43:C45)</f>
        <v>21.410680584576689</v>
      </c>
      <c r="D46" s="763">
        <f t="shared" ca="1" si="5"/>
        <v>0</v>
      </c>
      <c r="E46" s="763">
        <f t="shared" si="5"/>
        <v>72.813364933113704</v>
      </c>
      <c r="F46" s="763">
        <f t="shared" si="5"/>
        <v>122.49529157402549</v>
      </c>
      <c r="G46" s="763">
        <f t="shared" si="5"/>
        <v>0</v>
      </c>
      <c r="H46" s="763">
        <f t="shared" si="5"/>
        <v>44354.075187456343</v>
      </c>
      <c r="I46" s="763">
        <f t="shared" si="5"/>
        <v>10324.243028040673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54895.037552588736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35.979774909966658</v>
      </c>
      <c r="D48" s="718">
        <f ca="1">+landbouw!C12</f>
        <v>0</v>
      </c>
      <c r="E48" s="718">
        <f>+landbouw!D12</f>
        <v>1297.5224796819564</v>
      </c>
      <c r="F48" s="718">
        <f>+landbouw!E12</f>
        <v>1.1288733511924629</v>
      </c>
      <c r="G48" s="718">
        <f>+landbouw!F12</f>
        <v>188.19129888705262</v>
      </c>
      <c r="H48" s="718">
        <f>+landbouw!G12</f>
        <v>0</v>
      </c>
      <c r="I48" s="718">
        <f>+landbouw!H12</f>
        <v>0</v>
      </c>
      <c r="J48" s="718">
        <f>+landbouw!I12</f>
        <v>0</v>
      </c>
      <c r="K48" s="718">
        <f>+landbouw!J12</f>
        <v>8.6772462647242961</v>
      </c>
      <c r="L48" s="718">
        <f>+landbouw!K12</f>
        <v>0</v>
      </c>
      <c r="M48" s="718">
        <f>+landbouw!L12</f>
        <v>0</v>
      </c>
      <c r="N48" s="718">
        <f>+landbouw!M12</f>
        <v>0</v>
      </c>
      <c r="O48" s="718">
        <f>+landbouw!N12</f>
        <v>0</v>
      </c>
      <c r="P48" s="718">
        <f>+landbouw!O12</f>
        <v>0</v>
      </c>
      <c r="Q48" s="719">
        <f>+landbouw!P12</f>
        <v>0</v>
      </c>
      <c r="R48" s="761">
        <f ca="1">SUM(C48:Q48)</f>
        <v>1531.4996730948924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12339.195146793916</v>
      </c>
      <c r="D53" s="773">
        <f t="shared" ref="D53:Q53" ca="1" si="6">D41+D46+D48</f>
        <v>0</v>
      </c>
      <c r="E53" s="773">
        <f t="shared" ca="1" si="6"/>
        <v>35804.313417730104</v>
      </c>
      <c r="F53" s="773">
        <f t="shared" si="6"/>
        <v>669.50870577398825</v>
      </c>
      <c r="G53" s="773">
        <f t="shared" ca="1" si="6"/>
        <v>3538.1078397284364</v>
      </c>
      <c r="H53" s="773">
        <f t="shared" si="6"/>
        <v>44354.075187456343</v>
      </c>
      <c r="I53" s="773">
        <f t="shared" si="6"/>
        <v>10324.243028040673</v>
      </c>
      <c r="J53" s="773">
        <f t="shared" si="6"/>
        <v>0</v>
      </c>
      <c r="K53" s="773">
        <f t="shared" si="6"/>
        <v>9.1405777629435363</v>
      </c>
      <c r="L53" s="773">
        <f t="shared" si="6"/>
        <v>0</v>
      </c>
      <c r="M53" s="773">
        <f t="shared" ca="1" si="6"/>
        <v>0</v>
      </c>
      <c r="N53" s="773">
        <f t="shared" si="6"/>
        <v>0</v>
      </c>
      <c r="O53" s="773">
        <f t="shared" ca="1" si="6"/>
        <v>0</v>
      </c>
      <c r="P53" s="773">
        <f>P41+P46+P48</f>
        <v>0</v>
      </c>
      <c r="Q53" s="774">
        <f t="shared" si="6"/>
        <v>0</v>
      </c>
      <c r="R53" s="775">
        <f ca="1">R41+R46+R48</f>
        <v>107038.5839032864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0.21265901404937768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2189.9195098266073</v>
      </c>
      <c r="C66" s="795">
        <f>'lokale energieproductie'!B6</f>
        <v>2189.9195098266073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2189.9195098266073</v>
      </c>
      <c r="C69" s="803">
        <f>SUM(C64:C68)</f>
        <v>2189.9195098266073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36363.47403137933</v>
      </c>
      <c r="C4" s="478">
        <f>huishoudens!C8</f>
        <v>0</v>
      </c>
      <c r="D4" s="478">
        <f>huishoudens!D8</f>
        <v>138977.45910646295</v>
      </c>
      <c r="E4" s="478">
        <f>huishoudens!E8</f>
        <v>2018.5424607478355</v>
      </c>
      <c r="F4" s="478">
        <f>huishoudens!F8</f>
        <v>8452.5255884477065</v>
      </c>
      <c r="G4" s="478">
        <f>huishoudens!G8</f>
        <v>0</v>
      </c>
      <c r="H4" s="478">
        <f>huishoudens!H8</f>
        <v>0</v>
      </c>
      <c r="I4" s="478">
        <f>huishoudens!I8</f>
        <v>0</v>
      </c>
      <c r="J4" s="478">
        <f>huishoudens!J8</f>
        <v>0</v>
      </c>
      <c r="K4" s="478">
        <f>huishoudens!K8</f>
        <v>0</v>
      </c>
      <c r="L4" s="478">
        <f>huishoudens!L8</f>
        <v>0</v>
      </c>
      <c r="M4" s="478">
        <f>huishoudens!M8</f>
        <v>0</v>
      </c>
      <c r="N4" s="478">
        <f>huishoudens!N8</f>
        <v>9172.1108351803723</v>
      </c>
      <c r="O4" s="478">
        <f>huishoudens!O8</f>
        <v>284.52666666666664</v>
      </c>
      <c r="P4" s="479">
        <f>huishoudens!P8</f>
        <v>877.06666666666661</v>
      </c>
      <c r="Q4" s="480">
        <f>SUM(B4:P4)</f>
        <v>196145.70535555156</v>
      </c>
    </row>
    <row r="5" spans="1:17">
      <c r="A5" s="477" t="s">
        <v>156</v>
      </c>
      <c r="B5" s="478">
        <f ca="1">tertiair!B16</f>
        <v>18548.312606200114</v>
      </c>
      <c r="C5" s="478">
        <f ca="1">tertiair!C16</f>
        <v>0</v>
      </c>
      <c r="D5" s="478">
        <f ca="1">tertiair!D16</f>
        <v>28223.508634057143</v>
      </c>
      <c r="E5" s="478">
        <f>tertiair!E16</f>
        <v>203.59927384512983</v>
      </c>
      <c r="F5" s="478">
        <f ca="1">tertiair!F16</f>
        <v>3531.7010484817802</v>
      </c>
      <c r="G5" s="478">
        <f>tertiair!G16</f>
        <v>0</v>
      </c>
      <c r="H5" s="478">
        <f>tertiair!H16</f>
        <v>0</v>
      </c>
      <c r="I5" s="478">
        <f>tertiair!I16</f>
        <v>0</v>
      </c>
      <c r="J5" s="478">
        <f>tertiair!J16</f>
        <v>0.10533622060058771</v>
      </c>
      <c r="K5" s="478">
        <f>tertiair!K16</f>
        <v>0</v>
      </c>
      <c r="L5" s="478">
        <f ca="1">tertiair!L16</f>
        <v>0</v>
      </c>
      <c r="M5" s="478">
        <f>tertiair!M16</f>
        <v>0</v>
      </c>
      <c r="N5" s="478">
        <f ca="1">tertiair!N16</f>
        <v>4145.4481782922167</v>
      </c>
      <c r="O5" s="478">
        <f>tertiair!O16</f>
        <v>3.1266666666666669</v>
      </c>
      <c r="P5" s="479">
        <f>tertiair!P16</f>
        <v>38.133333333333333</v>
      </c>
      <c r="Q5" s="477">
        <f t="shared" ref="Q5:Q13" ca="1" si="0">SUM(B5:P5)</f>
        <v>54693.935077096976</v>
      </c>
    </row>
    <row r="6" spans="1:17">
      <c r="A6" s="477" t="s">
        <v>194</v>
      </c>
      <c r="B6" s="478">
        <f>'openbare verlichting'!B8</f>
        <v>1188.7919999999999</v>
      </c>
      <c r="C6" s="478"/>
      <c r="D6" s="478"/>
      <c r="E6" s="478"/>
      <c r="F6" s="478"/>
      <c r="G6" s="478"/>
      <c r="H6" s="478"/>
      <c r="I6" s="478"/>
      <c r="J6" s="478"/>
      <c r="K6" s="478"/>
      <c r="L6" s="478"/>
      <c r="M6" s="478"/>
      <c r="N6" s="478"/>
      <c r="O6" s="478"/>
      <c r="P6" s="479"/>
      <c r="Q6" s="477">
        <f t="shared" si="0"/>
        <v>1188.7919999999999</v>
      </c>
    </row>
    <row r="7" spans="1:17">
      <c r="A7" s="477" t="s">
        <v>112</v>
      </c>
      <c r="B7" s="478">
        <f>landbouw!B8</f>
        <v>169.18998270918559</v>
      </c>
      <c r="C7" s="478">
        <f>landbouw!C8</f>
        <v>0</v>
      </c>
      <c r="D7" s="478">
        <f>landbouw!D8</f>
        <v>6423.3786122869124</v>
      </c>
      <c r="E7" s="478">
        <f>landbouw!E8</f>
        <v>4.9730103576760483</v>
      </c>
      <c r="F7" s="478">
        <f>landbouw!F8</f>
        <v>704.83632541967268</v>
      </c>
      <c r="G7" s="478">
        <f>landbouw!G8</f>
        <v>0</v>
      </c>
      <c r="H7" s="478">
        <f>landbouw!H8</f>
        <v>0</v>
      </c>
      <c r="I7" s="478">
        <f>landbouw!I8</f>
        <v>0</v>
      </c>
      <c r="J7" s="478">
        <f>landbouw!J8</f>
        <v>24.511995098091234</v>
      </c>
      <c r="K7" s="478">
        <f>landbouw!K8</f>
        <v>0</v>
      </c>
      <c r="L7" s="478">
        <f>landbouw!L8</f>
        <v>0</v>
      </c>
      <c r="M7" s="478">
        <f>landbouw!M8</f>
        <v>0</v>
      </c>
      <c r="N7" s="478">
        <f>landbouw!N8</f>
        <v>0</v>
      </c>
      <c r="O7" s="478">
        <f>landbouw!O8</f>
        <v>0</v>
      </c>
      <c r="P7" s="479">
        <f>landbouw!P8</f>
        <v>0</v>
      </c>
      <c r="Q7" s="477">
        <f t="shared" si="0"/>
        <v>7326.8899258715383</v>
      </c>
    </row>
    <row r="8" spans="1:17">
      <c r="A8" s="477" t="s">
        <v>635</v>
      </c>
      <c r="B8" s="478">
        <f>industrie!B18</f>
        <v>1652.9322878856797</v>
      </c>
      <c r="C8" s="478">
        <f>industrie!C18</f>
        <v>0</v>
      </c>
      <c r="D8" s="478">
        <f>industrie!D18</f>
        <v>3264.2677699503433</v>
      </c>
      <c r="E8" s="478">
        <f>industrie!E18</f>
        <v>182.63597839721194</v>
      </c>
      <c r="F8" s="478">
        <f>industrie!F18</f>
        <v>562.27726135284911</v>
      </c>
      <c r="G8" s="478">
        <f>industrie!G18</f>
        <v>0</v>
      </c>
      <c r="H8" s="478">
        <f>industrie!H18</f>
        <v>0</v>
      </c>
      <c r="I8" s="478">
        <f>industrie!I18</f>
        <v>0</v>
      </c>
      <c r="J8" s="478">
        <f>industrie!J18</f>
        <v>1.20350981956676</v>
      </c>
      <c r="K8" s="478">
        <f>industrie!K18</f>
        <v>0</v>
      </c>
      <c r="L8" s="478">
        <f>industrie!L18</f>
        <v>0</v>
      </c>
      <c r="M8" s="478">
        <f>industrie!M18</f>
        <v>0</v>
      </c>
      <c r="N8" s="478">
        <f>industrie!N18</f>
        <v>327.56629205424144</v>
      </c>
      <c r="O8" s="478">
        <f>industrie!O18</f>
        <v>0</v>
      </c>
      <c r="P8" s="479">
        <f>industrie!P18</f>
        <v>0</v>
      </c>
      <c r="Q8" s="477">
        <f t="shared" si="0"/>
        <v>5990.883099459892</v>
      </c>
    </row>
    <row r="9" spans="1:17" s="483" customFormat="1">
      <c r="A9" s="481" t="s">
        <v>561</v>
      </c>
      <c r="B9" s="482">
        <f>transport!B14</f>
        <v>100.6808043396896</v>
      </c>
      <c r="C9" s="482">
        <f>transport!C14</f>
        <v>0</v>
      </c>
      <c r="D9" s="482">
        <f>transport!D14</f>
        <v>360.46220263917672</v>
      </c>
      <c r="E9" s="482">
        <f>transport!E14</f>
        <v>539.62683512786555</v>
      </c>
      <c r="F9" s="482">
        <f>transport!F14</f>
        <v>0</v>
      </c>
      <c r="G9" s="482">
        <f>transport!G14</f>
        <v>161740.02879023255</v>
      </c>
      <c r="H9" s="482">
        <f>transport!H14</f>
        <v>41462.823405785835</v>
      </c>
      <c r="I9" s="482">
        <f>transport!I14</f>
        <v>0</v>
      </c>
      <c r="J9" s="482">
        <f>transport!J14</f>
        <v>0</v>
      </c>
      <c r="K9" s="482">
        <f>transport!K14</f>
        <v>0</v>
      </c>
      <c r="L9" s="482">
        <f>transport!L14</f>
        <v>0</v>
      </c>
      <c r="M9" s="482">
        <f>transport!M14</f>
        <v>10680.297932917423</v>
      </c>
      <c r="N9" s="482">
        <f>transport!N14</f>
        <v>0</v>
      </c>
      <c r="O9" s="482">
        <f>transport!O14</f>
        <v>0</v>
      </c>
      <c r="P9" s="482">
        <f>transport!P14</f>
        <v>0</v>
      </c>
      <c r="Q9" s="481">
        <f>SUM(B9:P9)</f>
        <v>214883.91997104255</v>
      </c>
    </row>
    <row r="10" spans="1:17">
      <c r="A10" s="477" t="s">
        <v>551</v>
      </c>
      <c r="B10" s="478">
        <f>transport!B54</f>
        <v>0</v>
      </c>
      <c r="C10" s="478">
        <f>transport!C54</f>
        <v>0</v>
      </c>
      <c r="D10" s="478">
        <f>transport!D54</f>
        <v>0</v>
      </c>
      <c r="E10" s="478">
        <f>transport!E54</f>
        <v>0</v>
      </c>
      <c r="F10" s="478">
        <f>transport!F54</f>
        <v>0</v>
      </c>
      <c r="G10" s="478">
        <f>transport!G54</f>
        <v>4380.102997993451</v>
      </c>
      <c r="H10" s="478">
        <f>transport!H54</f>
        <v>0</v>
      </c>
      <c r="I10" s="478">
        <f>transport!I54</f>
        <v>0</v>
      </c>
      <c r="J10" s="478">
        <f>transport!J54</f>
        <v>0</v>
      </c>
      <c r="K10" s="478">
        <f>transport!K54</f>
        <v>0</v>
      </c>
      <c r="L10" s="478">
        <f>transport!L54</f>
        <v>0</v>
      </c>
      <c r="M10" s="478">
        <f>transport!M54</f>
        <v>248.77051398677114</v>
      </c>
      <c r="N10" s="478">
        <f>transport!N54</f>
        <v>0</v>
      </c>
      <c r="O10" s="478">
        <f>transport!O54</f>
        <v>0</v>
      </c>
      <c r="P10" s="479">
        <f>transport!P54</f>
        <v>0</v>
      </c>
      <c r="Q10" s="477">
        <f t="shared" si="0"/>
        <v>4628.8735119802222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58023.38171251399</v>
      </c>
      <c r="C14" s="488">
        <f t="shared" ref="C14:Q14" ca="1" si="1">SUM(C4:C13)</f>
        <v>0</v>
      </c>
      <c r="D14" s="488">
        <f t="shared" ca="1" si="1"/>
        <v>177249.07632539651</v>
      </c>
      <c r="E14" s="488">
        <f t="shared" si="1"/>
        <v>2949.3775584757191</v>
      </c>
      <c r="F14" s="488">
        <f t="shared" ca="1" si="1"/>
        <v>13251.340223702007</v>
      </c>
      <c r="G14" s="488">
        <f t="shared" si="1"/>
        <v>166120.13178822599</v>
      </c>
      <c r="H14" s="488">
        <f t="shared" si="1"/>
        <v>41462.823405785835</v>
      </c>
      <c r="I14" s="488">
        <f t="shared" si="1"/>
        <v>0</v>
      </c>
      <c r="J14" s="488">
        <f t="shared" si="1"/>
        <v>25.820841138258583</v>
      </c>
      <c r="K14" s="488">
        <f t="shared" si="1"/>
        <v>0</v>
      </c>
      <c r="L14" s="488">
        <f t="shared" ca="1" si="1"/>
        <v>0</v>
      </c>
      <c r="M14" s="488">
        <f t="shared" si="1"/>
        <v>10929.068446904193</v>
      </c>
      <c r="N14" s="488">
        <f t="shared" ca="1" si="1"/>
        <v>13645.125305526832</v>
      </c>
      <c r="O14" s="488">
        <f t="shared" si="1"/>
        <v>287.65333333333331</v>
      </c>
      <c r="P14" s="489">
        <f t="shared" si="1"/>
        <v>915.19999999999993</v>
      </c>
      <c r="Q14" s="489">
        <f t="shared" ca="1" si="1"/>
        <v>484858.9989410027</v>
      </c>
    </row>
    <row r="16" spans="1:17">
      <c r="A16" s="491" t="s">
        <v>556</v>
      </c>
      <c r="B16" s="841">
        <f ca="1">huishoudens!B10</f>
        <v>0.21265901404937762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7733.0205349232756</v>
      </c>
      <c r="C21" s="478">
        <f t="shared" ref="C21:C30" ca="1" si="3">C4*$C$16</f>
        <v>0</v>
      </c>
      <c r="D21" s="478">
        <f t="shared" ref="D21:D30" si="4">D4*$D$16</f>
        <v>28073.446739505518</v>
      </c>
      <c r="E21" s="478">
        <f t="shared" ref="E21:E30" si="5">E4*$E$16</f>
        <v>458.20913858975871</v>
      </c>
      <c r="F21" s="478">
        <f t="shared" ref="F21:F30" si="6">F4*$F$16</f>
        <v>2256.8243321155378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38521.500745134093</v>
      </c>
    </row>
    <row r="22" spans="1:17">
      <c r="A22" s="477" t="s">
        <v>156</v>
      </c>
      <c r="B22" s="478">
        <f t="shared" ca="1" si="2"/>
        <v>3944.4658711141578</v>
      </c>
      <c r="C22" s="478">
        <f t="shared" ca="1" si="3"/>
        <v>0</v>
      </c>
      <c r="D22" s="478">
        <f t="shared" ca="1" si="4"/>
        <v>5701.1487440795436</v>
      </c>
      <c r="E22" s="478">
        <f t="shared" si="5"/>
        <v>46.217035162844475</v>
      </c>
      <c r="F22" s="478">
        <f t="shared" ca="1" si="6"/>
        <v>942.96417994463536</v>
      </c>
      <c r="G22" s="478">
        <f t="shared" si="7"/>
        <v>0</v>
      </c>
      <c r="H22" s="478">
        <f t="shared" si="8"/>
        <v>0</v>
      </c>
      <c r="I22" s="478">
        <f t="shared" si="9"/>
        <v>0</v>
      </c>
      <c r="J22" s="478">
        <f t="shared" si="10"/>
        <v>3.7289022092608051E-2</v>
      </c>
      <c r="K22" s="478">
        <f t="shared" si="11"/>
        <v>0</v>
      </c>
      <c r="L22" s="478">
        <f t="shared" ca="1" si="12"/>
        <v>0</v>
      </c>
      <c r="M22" s="478">
        <f t="shared" si="13"/>
        <v>0</v>
      </c>
      <c r="N22" s="478">
        <f t="shared" ca="1" si="14"/>
        <v>0</v>
      </c>
      <c r="O22" s="478">
        <f t="shared" si="15"/>
        <v>0</v>
      </c>
      <c r="P22" s="479">
        <f t="shared" si="16"/>
        <v>0</v>
      </c>
      <c r="Q22" s="477">
        <f t="shared" ref="Q22:Q30" ca="1" si="17">SUM(B22:P22)</f>
        <v>10634.833119323273</v>
      </c>
    </row>
    <row r="23" spans="1:17">
      <c r="A23" s="477" t="s">
        <v>194</v>
      </c>
      <c r="B23" s="478">
        <f t="shared" ca="1" si="2"/>
        <v>252.8073346297877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252.8073346297877</v>
      </c>
    </row>
    <row r="24" spans="1:17">
      <c r="A24" s="477" t="s">
        <v>112</v>
      </c>
      <c r="B24" s="478">
        <f t="shared" ca="1" si="2"/>
        <v>35.979774909966658</v>
      </c>
      <c r="C24" s="478">
        <f t="shared" ca="1" si="3"/>
        <v>0</v>
      </c>
      <c r="D24" s="478">
        <f t="shared" si="4"/>
        <v>1297.5224796819564</v>
      </c>
      <c r="E24" s="478">
        <f t="shared" si="5"/>
        <v>1.1288733511924629</v>
      </c>
      <c r="F24" s="478">
        <f t="shared" si="6"/>
        <v>188.19129888705262</v>
      </c>
      <c r="G24" s="478">
        <f t="shared" si="7"/>
        <v>0</v>
      </c>
      <c r="H24" s="478">
        <f t="shared" si="8"/>
        <v>0</v>
      </c>
      <c r="I24" s="478">
        <f t="shared" si="9"/>
        <v>0</v>
      </c>
      <c r="J24" s="478">
        <f t="shared" si="10"/>
        <v>8.6772462647242961</v>
      </c>
      <c r="K24" s="478">
        <f t="shared" si="11"/>
        <v>0</v>
      </c>
      <c r="L24" s="478">
        <f t="shared" si="12"/>
        <v>0</v>
      </c>
      <c r="M24" s="478">
        <f t="shared" si="13"/>
        <v>0</v>
      </c>
      <c r="N24" s="478">
        <f t="shared" si="14"/>
        <v>0</v>
      </c>
      <c r="O24" s="478">
        <f t="shared" si="15"/>
        <v>0</v>
      </c>
      <c r="P24" s="479">
        <f t="shared" si="16"/>
        <v>0</v>
      </c>
      <c r="Q24" s="477">
        <f t="shared" ca="1" si="17"/>
        <v>1531.4996730948924</v>
      </c>
    </row>
    <row r="25" spans="1:17">
      <c r="A25" s="477" t="s">
        <v>635</v>
      </c>
      <c r="B25" s="478">
        <f t="shared" ca="1" si="2"/>
        <v>351.51095063215064</v>
      </c>
      <c r="C25" s="478">
        <f t="shared" ca="1" si="3"/>
        <v>0</v>
      </c>
      <c r="D25" s="478">
        <f t="shared" si="4"/>
        <v>659.38208952996945</v>
      </c>
      <c r="E25" s="478">
        <f t="shared" si="5"/>
        <v>41.458367096167109</v>
      </c>
      <c r="F25" s="478">
        <f t="shared" si="6"/>
        <v>150.12802878121073</v>
      </c>
      <c r="G25" s="478">
        <f t="shared" si="7"/>
        <v>0</v>
      </c>
      <c r="H25" s="478">
        <f t="shared" si="8"/>
        <v>0</v>
      </c>
      <c r="I25" s="478">
        <f t="shared" si="9"/>
        <v>0</v>
      </c>
      <c r="J25" s="478">
        <f t="shared" si="10"/>
        <v>0.42604247612663299</v>
      </c>
      <c r="K25" s="478">
        <f t="shared" si="11"/>
        <v>0</v>
      </c>
      <c r="L25" s="478">
        <f t="shared" si="12"/>
        <v>0</v>
      </c>
      <c r="M25" s="478">
        <f t="shared" si="13"/>
        <v>0</v>
      </c>
      <c r="N25" s="478">
        <f t="shared" si="14"/>
        <v>0</v>
      </c>
      <c r="O25" s="478">
        <f t="shared" si="15"/>
        <v>0</v>
      </c>
      <c r="P25" s="479">
        <f t="shared" si="16"/>
        <v>0</v>
      </c>
      <c r="Q25" s="477">
        <f t="shared" ca="1" si="17"/>
        <v>1202.9054785156247</v>
      </c>
    </row>
    <row r="26" spans="1:17" s="483" customFormat="1">
      <c r="A26" s="481" t="s">
        <v>561</v>
      </c>
      <c r="B26" s="835">
        <f t="shared" ca="1" si="2"/>
        <v>21.410680584576689</v>
      </c>
      <c r="C26" s="482">
        <f t="shared" ca="1" si="3"/>
        <v>0</v>
      </c>
      <c r="D26" s="482">
        <f t="shared" si="4"/>
        <v>72.813364933113704</v>
      </c>
      <c r="E26" s="482">
        <f t="shared" si="5"/>
        <v>122.49529157402549</v>
      </c>
      <c r="F26" s="482">
        <f t="shared" si="6"/>
        <v>0</v>
      </c>
      <c r="G26" s="482">
        <f t="shared" si="7"/>
        <v>43184.58768699209</v>
      </c>
      <c r="H26" s="482">
        <f t="shared" si="8"/>
        <v>10324.243028040673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53725.550052124483</v>
      </c>
    </row>
    <row r="27" spans="1:17">
      <c r="A27" s="477" t="s">
        <v>551</v>
      </c>
      <c r="B27" s="478">
        <f t="shared" ca="1" si="2"/>
        <v>0</v>
      </c>
      <c r="C27" s="478">
        <f t="shared" ca="1" si="3"/>
        <v>0</v>
      </c>
      <c r="D27" s="478">
        <f t="shared" si="4"/>
        <v>0</v>
      </c>
      <c r="E27" s="478">
        <f t="shared" si="5"/>
        <v>0</v>
      </c>
      <c r="F27" s="478">
        <f t="shared" si="6"/>
        <v>0</v>
      </c>
      <c r="G27" s="478">
        <f t="shared" si="7"/>
        <v>1169.4875004642515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1169.4875004642515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12339.195146793916</v>
      </c>
      <c r="C31" s="488">
        <f t="shared" ca="1" si="18"/>
        <v>0</v>
      </c>
      <c r="D31" s="488">
        <f t="shared" ca="1" si="18"/>
        <v>35804.313417730104</v>
      </c>
      <c r="E31" s="488">
        <f t="shared" si="18"/>
        <v>669.50870577398825</v>
      </c>
      <c r="F31" s="488">
        <f t="shared" ca="1" si="18"/>
        <v>3538.1078397284364</v>
      </c>
      <c r="G31" s="488">
        <f t="shared" si="18"/>
        <v>44354.075187456343</v>
      </c>
      <c r="H31" s="488">
        <f t="shared" si="18"/>
        <v>10324.243028040673</v>
      </c>
      <c r="I31" s="488">
        <f t="shared" si="18"/>
        <v>0</v>
      </c>
      <c r="J31" s="488">
        <f t="shared" si="18"/>
        <v>9.1405777629435363</v>
      </c>
      <c r="K31" s="488">
        <f t="shared" si="18"/>
        <v>0</v>
      </c>
      <c r="L31" s="488">
        <f t="shared" ca="1" si="18"/>
        <v>0</v>
      </c>
      <c r="M31" s="488">
        <f t="shared" si="18"/>
        <v>0</v>
      </c>
      <c r="N31" s="488">
        <f t="shared" ca="1" si="18"/>
        <v>0</v>
      </c>
      <c r="O31" s="488">
        <f t="shared" si="18"/>
        <v>0</v>
      </c>
      <c r="P31" s="489">
        <f t="shared" si="18"/>
        <v>0</v>
      </c>
      <c r="Q31" s="489">
        <f t="shared" ca="1" si="18"/>
        <v>107038.5839032864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0.21265901404937762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0.21265901404937762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0.21265901404937762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2018-09-06T12:47:18Z</dcterms:modified>
</cp:coreProperties>
</file>