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9" i="20"/>
  <c r="C17" i="49"/>
  <c r="Q5" i="48"/>
  <c r="F22" i="16"/>
  <c r="G39" i="14" s="1"/>
  <c r="G41" s="1"/>
  <c r="F8" i="48"/>
  <c r="Q4"/>
  <c r="N22"/>
  <c r="R11" i="14"/>
  <c r="J21" i="48"/>
  <c r="R10" i="14"/>
  <c r="C56" i="22" l="1"/>
  <c r="C58" s="1"/>
  <c r="D44" i="14" s="1"/>
  <c r="D46" s="1"/>
  <c r="C10" i="17"/>
  <c r="C12" s="1"/>
  <c r="D48" i="14" s="1"/>
  <c r="C16" i="22"/>
  <c r="O13" i="14"/>
  <c r="O15" s="1"/>
  <c r="C10" i="13"/>
  <c r="C16" i="48" s="1"/>
  <c r="C30" s="1"/>
  <c r="C18" i="15"/>
  <c r="C20" s="1"/>
  <c r="D36" i="14" s="1"/>
  <c r="C20" i="16"/>
  <c r="C22" s="1"/>
  <c r="D39" i="14"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5"/>
  <c r="C29"/>
  <c r="C21"/>
  <c r="C26"/>
  <c r="F25"/>
  <c r="F31" s="1"/>
  <c r="F14"/>
  <c r="E14" l="1"/>
  <c r="C28"/>
  <c r="C31" s="1"/>
  <c r="R13" i="14"/>
  <c r="R15" s="1"/>
  <c r="R23" s="1"/>
  <c r="C27" i="48"/>
  <c r="C22"/>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<sst xmlns="http://schemas.openxmlformats.org/spreadsheetml/2006/main" count="1930" uniqueCount="818">
  <si>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</si>
  <si>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</si>
  <si>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</si>
  <si>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</si>
  <si>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</si>
  <si>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</si>
  <si>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</si>
  <si>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</si>
  <si>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</si>
  <si>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</si>
  <si>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</si>
  <si>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</si>
  <si>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</si>
  <si>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</si>
  <si>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</si>
  <si>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</si>
  <si>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</si>
  <si>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</si>
  <si>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</si>
  <si>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</si>
  <si>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</si>
  <si>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</si>
  <si>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</si>
  <si>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</si>
  <si>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</si>
  <si>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</si>
  <si>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</si>
  <si>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</si>
  <si>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</si>
  <si>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</si>
  <si>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</si>
  <si>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</si>
  <si>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</si>
  <si>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</si>
  <si>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</si>
  <si>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</si>
  <si>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</si>
  <si>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</si>
  <si>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</si>
  <si>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</si>
  <si>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</si>
  <si>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</si>
  <si>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</si>
  <si>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</si>
  <si>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</si>
  <si>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</si>
  <si>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</si>
  <si>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</si>
  <si>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</si>
  <si>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</si>
  <si>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</si>
  <si>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</si>
  <si>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</si>
  <si>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</si>
  <si>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</si>
  <si>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</si>
  <si>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</si>
  <si>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</si>
  <si>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</si>
  <si>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</si>
  <si>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</si>
  <si>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</si>
  <si>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</si>
  <si>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</si>
  <si>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</si>
  <si>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</si>
  <si>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</si>
  <si>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</si>
  <si>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</si>
  <si>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</si>
  <si>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</si>
  <si>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</si>
  <si>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</si>
  <si>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</si>
  <si>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</si>
  <si>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</si>
  <si>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</si>
  <si>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</si>
  <si>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</si>
  <si>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</si>
  <si>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</si>
  <si>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</si>
  <si>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</si>
  <si>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</si>
  <si>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</si>
  <si>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</si>
  <si>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</si>
  <si>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</si>
  <si>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</si>
  <si>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</si>
  <si>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</si>
  <si>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</si>
  <si>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</si>
  <si>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</si>
  <si>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</si>
  <si>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</si>
  <si>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</si>
  <si>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</si>
  <si>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</si>
  <si>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</si>
  <si>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</si>
  <si>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</si>
  <si>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</si>
  <si>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</si>
  <si>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</si>
  <si>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</si>
  <si>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</si>
  <si>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</si>
  <si>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</si>
  <si>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</si>
  <si>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</si>
  <si>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</si>
  <si>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</si>
  <si>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</si>
  <si>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</si>
  <si>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</si>
  <si>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</si>
  <si>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</si>
  <si>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</si>
  <si>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</si>
  <si>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</si>
  <si>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</si>
  <si>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</si>
  <si>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</si>
  <si>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</si>
  <si>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</si>
  <si>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</si>
  <si>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</si>
  <si>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</si>
  <si>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</si>
  <si>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</si>
  <si>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</si>
  <si>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</si>
  <si>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</si>
  <si>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</si>
  <si>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</si>
  <si>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</si>
  <si>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</si>
  <si>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</si>
  <si>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</si>
  <si>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</si>
  <si>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</si>
  <si>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</si>
  <si>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</si>
  <si>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</si>
  <si>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</si>
  <si>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</si>
  <si>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</si>
  <si>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</si>
  <si>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</si>
  <si>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</si>
  <si>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</si>
  <si>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</si>
  <si>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</si>
  <si>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</si>
  <si>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</si>
  <si>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</si>
  <si>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</si>
  <si>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</si>
  <si>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</si>
  <si>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</si>
  <si>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</si>
  <si>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</si>
  <si>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</si>
  <si>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</si>
  <si>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</si>
  <si>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</si>
  <si>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</si>
  <si>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</si>
  <si>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</si>
  <si>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</si>
  <si>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</si>
  <si>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</si>
  <si>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</si>
  <si>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</si>
  <si>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</si>
  <si>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</si>
  <si>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</si>
  <si>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</si>
  <si>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</si>
  <si>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</si>
  <si>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</si>
  <si>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</si>
  <si>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</si>
  <si>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</si>
  <si>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</si>
  <si>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</si>
  <si>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</si>
  <si>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</si>
  <si>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</si>
  <si>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</si>
  <si>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</si>
  <si>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</si>
  <si>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</si>
  <si>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</si>
  <si>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</si>
  <si>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</si>
  <si>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</si>
  <si>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</si>
  <si>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</si>
  <si>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</si>
  <si>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</si>
  <si>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</si>
  <si>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</si>
  <si>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</si>
  <si>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</si>
  <si>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</si>
  <si>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</si>
  <si>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</si>
  <si>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</si>
  <si>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</si>
  <si>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</si>
  <si>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</si>
  <si>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</si>
  <si>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</si>
  <si>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</si>
  <si>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</si>
  <si>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</si>
  <si>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</si>
  <si>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</si>
  <si>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</si>
  <si>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</si>
  <si>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</si>
  <si>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</si>
  <si>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</si>
  <si>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</si>
  <si>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</si>
  <si>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</si>
  <si>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</si>
  <si>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</si>
  <si>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</si>
  <si>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</si>
  <si>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</si>
  <si>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</si>
  <si>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</si>
  <si>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</si>
  <si>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</si>
  <si>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</si>
  <si>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</si>
  <si>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</si>
  <si>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</si>
  <si>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</si>
  <si>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</si>
  <si>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</si>
  <si>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</si>
  <si>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</si>
  <si>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</si>
  <si>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</si>
  <si>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</si>
  <si>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</si>
  <si>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</si>
  <si>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</si>
  <si>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</si>
  <si>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</si>
  <si>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</si>
  <si>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</si>
  <si>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</si>
  <si>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</si>
  <si>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</si>
  <si>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</si>
  <si>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</si>
  <si>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</si>
  <si>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</si>
  <si>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</si>
  <si>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</si>
  <si>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</si>
  <si>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</si>
  <si>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</si>
  <si>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</si>
  <si>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</si>
  <si>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</si>
  <si>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</si>
  <si>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</si>
  <si>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</si>
  <si>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</si>
  <si>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</si>
  <si>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</si>
  <si>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</si>
  <si>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</si>
  <si>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</si>
  <si>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</si>
  <si>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</si>
  <si>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</si>
  <si>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</si>
  <si>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</si>
  <si>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</si>
  <si>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</si>
  <si>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</si>
  <si>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</si>
  <si>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</si>
  <si>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</si>
  <si>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</si>
  <si>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</si>
  <si>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</si>
  <si>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</si>
  <si>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</si>
  <si>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</si>
  <si>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</si>
  <si>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</si>
  <si>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</si>
  <si>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</si>
  <si>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</si>
  <si>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</si>
  <si>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</si>
  <si>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</si>
  <si>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</si>
  <si>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</si>
  <si>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</si>
  <si>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</si>
  <si>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</si>
  <si>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</si>
  <si>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</si>
  <si>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</si>
  <si>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</si>
  <si>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</si>
  <si>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</si>
  <si>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</si>
  <si>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</si>
  <si>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</si>
  <si>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</si>
  <si>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</si>
  <si>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</si>
  <si>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</si>
  <si>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</si>
  <si>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</si>
  <si>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</si>
  <si>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</si>
  <si>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</si>
  <si>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</si>
  <si>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</si>
  <si>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</si>
  <si>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</si>
  <si>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</si>
  <si>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</si>
  <si>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</si>
  <si>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</si>
  <si>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</si>
  <si>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</si>
  <si>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</si>
  <si>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</si>
  <si>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</si>
  <si>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</si>
  <si>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</si>
  <si>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</si>
  <si>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</si>
  <si>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</si>
  <si>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</si>
  <si>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</si>
  <si>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</si>
  <si>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</si>
  <si>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</si>
  <si>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</si>
  <si>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</si>
  <si>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</si>
  <si>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</si>
  <si>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</si>
  <si>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</si>
  <si>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</si>
  <si>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</si>
  <si>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</si>
  <si>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</si>
  <si>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</si>
  <si>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</si>
  <si>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</si>
  <si>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</si>
  <si>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</si>
  <si>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</si>
  <si>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</si>
  <si>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</si>
  <si>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</si>
  <si>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</si>
  <si>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</si>
  <si>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</si>
  <si>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</si>
  <si>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</si>
  <si>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</si>
  <si>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</si>
  <si>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</si>
  <si>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</si>
  <si>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</si>
  <si>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</si>
  <si>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</si>
  <si>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</si>
  <si>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</si>
  <si>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</si>
  <si>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</si>
  <si>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</si>
  <si>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</si>
  <si>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</si>
  <si>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</si>
  <si>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</si>
  <si>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</si>
  <si>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</si>
  <si>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</si>
  <si>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</si>
  <si>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</si>
  <si>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</si>
  <si>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</si>
  <si>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</si>
  <si>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</si>
  <si>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</si>
  <si>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</si>
  <si>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</si>
  <si>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</si>
  <si>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</si>
  <si>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</si>
  <si>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</si>
  <si>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</si>
  <si>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</si>
  <si>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</si>
  <si>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</si>
  <si>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</si>
  <si>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</si>
  <si>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</si>
  <si>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</si>
  <si>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</si>
  <si>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</si>
  <si>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</si>
  <si>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</si>
  <si>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</si>
  <si>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</si>
  <si>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</si>
  <si>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</si>
  <si>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</si>
  <si>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</si>
  <si>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</si>
  <si>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</si>
  <si>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</si>
  <si>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</si>
  <si>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</si>
  <si>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</si>
  <si>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</si>
  <si>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</si>
  <si>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</si>
  <si>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</si>
  <si>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</si>
  <si>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</si>
  <si>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</si>
  <si>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</si>
  <si>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</si>
  <si>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</si>
  <si>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</si>
  <si>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</si>
  <si>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</si>
  <si>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</si>
  <si>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</si>
  <si>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</si>
  <si>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</si>
  <si>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</si>
  <si>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</si>
  <si>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</si>
  <si>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</si>
  <si>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</si>
  <si>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</si>
  <si>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</si>
  <si>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</si>
  <si>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</si>
  <si>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</si>
  <si>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</si>
  <si>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</si>
  <si>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</si>
  <si>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</si>
  <si>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</si>
  <si>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</si>
  <si>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</si>
  <si>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</si>
  <si>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</si>
  <si>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</si>
  <si>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</si>
  <si>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</si>
  <si>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</si>
  <si>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</si>
  <si>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</si>
  <si>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</si>
  <si>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</si>
  <si>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</si>
  <si>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</si>
  <si>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</si>
  <si>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</si>
  <si>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</si>
  <si>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</si>
  <si>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</si>
  <si>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</si>
  <si>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</si>
  <si>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</si>
  <si>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</si>
  <si>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</si>
  <si>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</si>
  <si>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</si>
  <si>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</si>
  <si>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</si>
  <si>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</si>
  <si>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</si>
  <si>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</si>
  <si>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</si>
  <si>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</si>
  <si>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</si>
  <si>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</si>
  <si>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</si>
  <si>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</si>
  <si>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</si>
  <si>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</si>
  <si>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</si>
  <si>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</si>
  <si>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</si>
  <si>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</si>
  <si>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</si>
  <si>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</si>
  <si>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</si>
  <si>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</si>
  <si>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</si>
  <si>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</si>
  <si>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</si>
  <si>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</si>
  <si>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</si>
  <si>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</si>
  <si>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</si>
  <si>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</si>
  <si>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</si>
  <si>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</si>
  <si>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</si>
  <si>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</si>
  <si>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</si>
  <si>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</si>
  <si>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</si>
  <si>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</si>
  <si>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</si>
  <si>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</si>
  <si>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</si>
  <si>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</si>
  <si>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</si>
  <si>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</si>
  <si>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</si>
  <si>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</si>
  <si>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</si>
  <si>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</si>
  <si>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</si>
  <si>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</si>
  <si>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</si>
  <si>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</si>
  <si>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</si>
  <si>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</si>
  <si>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</si>
  <si>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</si>
  <si>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</si>
  <si>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</si>
  <si>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</si>
  <si>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</si>
  <si>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</si>
  <si>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</si>
  <si>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</si>
  <si>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</si>
  <si>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</si>
  <si>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</si>
  <si>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</si>
  <si>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</si>
  <si>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</si>
  <si>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</si>
  <si>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</si>
  <si>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</si>
  <si>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</si>
  <si>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</si>
  <si>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</si>
  <si>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</si>
  <si>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</si>
  <si>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</si>
  <si>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</si>
  <si>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</si>
  <si>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</si>
  <si>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</si>
  <si>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</si>
  <si>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</si>
  <si>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</si>
  <si>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</si>
  <si>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</si>
  <si>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</si>
  <si>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</si>
  <si>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</si>
  <si>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</si>
  <si>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</si>
  <si>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</si>
  <si>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</si>
  <si>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</si>
  <si>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</si>
  <si>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</si>
  <si>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</si>
  <si>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</si>
  <si>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</si>
  <si>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</si>
  <si>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</si>
  <si>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</si>
  <si>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</si>
  <si>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</si>
  <si>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</si>
  <si>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</si>
  <si>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</si>
  <si>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</si>
  <si>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</si>
  <si>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</si>
  <si>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</si>
  <si>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</si>
  <si>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</si>
  <si>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</si>
  <si>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</si>
  <si>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</si>
  <si>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</si>
  <si>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</si>
  <si>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</si>
  <si>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</si>
  <si>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</si>
  <si>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</si>
  <si>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</si>
  <si>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</si>
  <si>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</si>
  <si>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</si>
  <si>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</si>
  <si>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</si>
  <si>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</si>
  <si>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</si>
  <si>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</si>
  <si>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</si>
  <si>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</si>
  <si>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</si>
  <si>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</si>
  <si>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</si>
  <si>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</si>
  <si>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</si>
  <si>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</si>
  <si>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</si>
  <si>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</si>
  <si>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</si>
  <si>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</si>
  <si>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</si>
  <si>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</si>
  <si>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</si>
  <si>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</si>
  <si>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</si>
  <si>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</si>
  <si>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</si>
  <si>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</si>
  <si>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</si>
  <si>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</si>
  <si>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</si>
  <si>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</si>
  <si>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</si>
  <si>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</si>
  <si>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</si>
  <si>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</si>
  <si>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</si>
  <si>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</si>
  <si>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</si>
  <si>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</si>
  <si>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</si>
  <si>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</si>
  <si>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</si>
  <si>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</si>
  <si>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</si>
  <si>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</si>
  <si>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</si>
  <si>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</si>
  <si>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</si>
  <si>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</si>
  <si>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</si>
  <si>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</si>
  <si>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</si>
  <si>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</si>
  <si>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</si>
  <si>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</si>
  <si>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</si>
  <si>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</si>
  <si>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</si>
  <si>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</si>
  <si>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</si>
  <si>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</si>
  <si>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</si>
  <si>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</si>
  <si>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</si>
  <si>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</si>
  <si>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</si>
  <si>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</si>
  <si>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</si>
  <si>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</si>
  <si>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</si>
  <si>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</si>
  <si>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</si>
  <si>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</si>
  <si>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</si>
  <si>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</si>
  <si>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</si>
  <si>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</si>
  <si>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</si>
  <si>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</si>
  <si>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</si>
  <si>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</si>
  <si>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</si>
  <si>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</si>
  <si>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</si>
  <si>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</si>
  <si>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</si>
  <si>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</si>
  <si>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</si>
  <si>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</si>
  <si>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</si>
  <si>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</si>
  <si>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</si>
  <si>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</si>
  <si>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</si>
  <si>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</si>
  <si>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</si>
  <si>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</si>
  <si>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</si>
  <si>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</si>
  <si>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</si>
  <si>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</si>
  <si>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</si>
  <si>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</si>
  <si>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</si>
  <si>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</si>
  <si>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</si>
  <si>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</si>
  <si>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</si>
  <si>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</si>
  <si>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</si>
  <si>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</si>
  <si>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</si>
  <si>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</si>
  <si>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</si>
  <si>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</si>
  <si>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</si>
  <si>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</si>
  <si>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</si>
  <si>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</si>
  <si>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</si>
  <si>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</si>
  <si>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</si>
  <si>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</si>
  <si>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</si>
  <si>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</si>
  <si>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</si>
  <si>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</si>
  <si>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</si>
  <si>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</si>
  <si>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</si>
  <si>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</si>
  <si>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</si>
  <si>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</si>
  <si>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</si>
  <si>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</si>
  <si>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</si>
  <si>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</si>
  <si>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</si>
  <si>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</si>
  <si>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</si>
  <si>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</si>
  <si>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</si>
  <si>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</si>
  <si>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</si>
  <si>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</si>
  <si>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</si>
  <si>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</si>
  <si>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</si>
  <si>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</si>
  <si>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</si>
  <si>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</si>
  <si>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</si>
  <si>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</si>
  <si>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</si>
  <si>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</si>
  <si>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</si>
  <si>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</si>
  <si>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</si>
  <si>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</si>
  <si>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</si>
  <si>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</si>
  <si>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</si>
  <si>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</si>
  <si>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</si>
  <si>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</si>
  <si>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</si>
  <si>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</si>
  <si>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</si>
  <si>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</si>
  <si>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</si>
  <si>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</si>
  <si>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</si>
  <si>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</si>
  <si>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</si>
  <si>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</si>
  <si>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</si>
  <si>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</si>
  <si>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</si>
  <si>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</si>
  <si>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</si>
  <si>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</si>
  <si>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</si>
  <si>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</si>
  <si>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</si>
  <si>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</si>
  <si>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</si>
  <si>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</si>
  <si>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</si>
  <si>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24094</t>
  </si>
  <si>
    <t>ROTSELAAR</t>
  </si>
  <si>
    <t>Eandis (januari 2018); Infrax (juni 2018)</t>
  </si>
  <si>
    <t>MOW (september 2017)</t>
  </si>
  <si>
    <t>referentietaak LNE (2017); Jaarverslag De Lijn (2016)</t>
  </si>
  <si>
    <t>VEA (april 2018)</t>
  </si>
  <si>
    <t>VEA (januari 2017)</t>
  </si>
  <si>
    <t>VEA (juni 2018)</t>
  </si>
  <si>
    <t>Ward Janssen</t>
  </si>
  <si>
    <t>Guldentop 23, 3118 Werchter</t>
  </si>
  <si>
    <t>WKK-0038 Ward Janssen</t>
  </si>
  <si>
    <t>interne verbrandingsmotor</t>
  </si>
  <si>
    <t>WKK interne verbrandinsgmotor (vloeibaar)</t>
  </si>
  <si>
    <t>IVERLEK</t>
  </si>
  <si>
    <t>WKK-0730 Armonea</t>
  </si>
  <si>
    <t>WKK interne verbrandinsgmotor (gas)</t>
  </si>
  <si>
    <t>Aarschotsesteenweg 146 , 3111 Wezemaal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</si>
</sst>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146806.54720388248</c:v>
                </c:pt>
                <c:pt idx="1">
                  <c:v>34661.242641453056</c:v>
                </c:pt>
                <c:pt idx="2">
                  <c:v>699.43100000000004</c:v>
                </c:pt>
                <c:pt idx="3">
                  <c:v>4884.3796669699768</c:v>
                </c:pt>
                <c:pt idx="4">
                  <c:v>107220.56575217599</c:v>
                </c:pt>
                <c:pt idx="5">
                  <c:v>173921.02290414681</c:v>
                </c:pt>
                <c:pt idx="6">
                  <c:v>1701.0600758169824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146806.54720388248</c:v>
                </c:pt>
                <c:pt idx="1">
                  <c:v>34661.242641453056</c:v>
                </c:pt>
                <c:pt idx="2">
                  <c:v>699.43100000000004</c:v>
                </c:pt>
                <c:pt idx="3">
                  <c:v>4884.3796669699768</c:v>
                </c:pt>
                <c:pt idx="4">
                  <c:v>107220.56575217599</c:v>
                </c:pt>
                <c:pt idx="5">
                  <c:v>173921.02290414681</c:v>
                </c:pt>
                <c:pt idx="6">
                  <c:v>1701.0600758169824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30501.474633356287</c:v>
                </c:pt>
                <c:pt idx="1">
                  <c:v>6799.7691634101056</c:v>
                </c:pt>
                <c:pt idx="2">
                  <c:v>146.12863434277941</c:v>
                </c:pt>
                <c:pt idx="3">
                  <c:v>1174.3275074968437</c:v>
                </c:pt>
                <c:pt idx="4">
                  <c:v>20604.003032790588</c:v>
                </c:pt>
                <c:pt idx="5">
                  <c:v>43520.497710652846</c:v>
                </c:pt>
                <c:pt idx="6">
                  <c:v>429.77378644241355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59040"/>
        <c:axId val="183214080"/>
      </c:barChart>
      <c:catAx>
        <c:axId val="183159040"/>
        <c:scaling>
          <c:orientation val="minMax"/>
        </c:scaling>
        <c:axPos val="b"/>
        <c:numFmt formatCode="General" sourceLinked="0"/>
        <c:tickLblPos val="nextTo"/>
        <c:crossAx val="183214080"/>
        <c:crosses val="autoZero"/>
        <c:auto val="1"/>
        <c:lblAlgn val="ctr"/>
        <c:lblOffset val="100"/>
      </c:catAx>
      <c:valAx>
        <c:axId val="183214080"/>
        <c:scaling>
          <c:orientation val="minMax"/>
        </c:scaling>
        <c:axPos val="l"/>
        <c:majorGridlines/>
        <c:numFmt formatCode="#,##0" sourceLinked="1"/>
        <c:tickLblPos val="nextTo"/>
        <c:crossAx val="1831590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30501.474633356287</c:v>
                </c:pt>
                <c:pt idx="1">
                  <c:v>6799.7691634101056</c:v>
                </c:pt>
                <c:pt idx="2">
                  <c:v>146.12863434277941</c:v>
                </c:pt>
                <c:pt idx="3">
                  <c:v>1174.3275074968437</c:v>
                </c:pt>
                <c:pt idx="4">
                  <c:v>20604.003032790588</c:v>
                </c:pt>
                <c:pt idx="5">
                  <c:v>43520.497710652846</c:v>
                </c:pt>
                <c:pt idx="6">
                  <c:v>429.77378644241355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24094</v>
      </c>
      <c r="B6" s="415"/>
      <c r="C6" s="416"/>
    </row>
    <row r="7" spans="1:7" s="413" customFormat="1" ht="15.75" customHeight="1">
      <c r="A7" s="417" t="str">
        <f>txtMunicipality</f>
        <v>ROTSELAAR</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15683.230827329658</v>
      </c>
      <c r="D10" s="718">
        <f ca="1">tertiair!C16</f>
        <v>239.19642857142858</v>
      </c>
      <c r="E10" s="718">
        <f ca="1">tertiair!D16</f>
        <v>14239.247303912345</v>
      </c>
      <c r="F10" s="718">
        <f>tertiair!E16</f>
        <v>172.75076522714608</v>
      </c>
      <c r="G10" s="718">
        <f ca="1">tertiair!F16</f>
        <v>2658.9187769111631</v>
      </c>
      <c r="H10" s="718">
        <f>tertiair!G16</f>
        <v>0</v>
      </c>
      <c r="I10" s="718">
        <f>tertiair!H16</f>
        <v>0</v>
      </c>
      <c r="J10" s="718">
        <f>tertiair!I16</f>
        <v>0</v>
      </c>
      <c r="K10" s="718">
        <f>tertiair!J16</f>
        <v>5.9338356549098623E-2</v>
      </c>
      <c r="L10" s="718">
        <f>tertiair!K16</f>
        <v>0</v>
      </c>
      <c r="M10" s="718">
        <f ca="1">tertiair!L16</f>
        <v>0</v>
      </c>
      <c r="N10" s="718">
        <f>tertiair!M16</f>
        <v>0</v>
      </c>
      <c r="O10" s="718">
        <f ca="1">tertiair!N16</f>
        <v>2346.6402011447708</v>
      </c>
      <c r="P10" s="718">
        <f>tertiair!O16</f>
        <v>1.5633333333333335</v>
      </c>
      <c r="Q10" s="719">
        <f>tertiair!P16</f>
        <v>19.066666666666666</v>
      </c>
      <c r="R10" s="721">
        <f ca="1">SUM(C10:Q10)</f>
        <v>35360.673641453061</v>
      </c>
      <c r="S10" s="67"/>
    </row>
    <row r="11" spans="1:19" s="474" customFormat="1">
      <c r="A11" s="870" t="s">
        <v>225</v>
      </c>
      <c r="B11" s="875"/>
      <c r="C11" s="718">
        <f>huishoudens!B8</f>
        <v>29892.63076593374</v>
      </c>
      <c r="D11" s="718">
        <f>huishoudens!C8</f>
        <v>0</v>
      </c>
      <c r="E11" s="718">
        <f>huishoudens!D8</f>
        <v>46052.337050503593</v>
      </c>
      <c r="F11" s="718">
        <f>huishoudens!E8</f>
        <v>10994.60602753985</v>
      </c>
      <c r="G11" s="718">
        <f>huishoudens!F8</f>
        <v>46658.459013964173</v>
      </c>
      <c r="H11" s="718">
        <f>huishoudens!G8</f>
        <v>0</v>
      </c>
      <c r="I11" s="718">
        <f>huishoudens!H8</f>
        <v>0</v>
      </c>
      <c r="J11" s="718">
        <f>huishoudens!I8</f>
        <v>0</v>
      </c>
      <c r="K11" s="718">
        <f>huishoudens!J8</f>
        <v>0</v>
      </c>
      <c r="L11" s="718">
        <f>huishoudens!K8</f>
        <v>0</v>
      </c>
      <c r="M11" s="718">
        <f>huishoudens!L8</f>
        <v>0</v>
      </c>
      <c r="N11" s="718">
        <f>huishoudens!M8</f>
        <v>0</v>
      </c>
      <c r="O11" s="718">
        <f>huishoudens!N8</f>
        <v>10854.121012607831</v>
      </c>
      <c r="P11" s="718">
        <f>huishoudens!O8</f>
        <v>409.59333333333336</v>
      </c>
      <c r="Q11" s="719">
        <f>huishoudens!P8</f>
        <v>1944.8</v>
      </c>
      <c r="R11" s="721">
        <f>SUM(C11:Q11)</f>
        <v>146806.54720388248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45816.433057946255</v>
      </c>
      <c r="D13" s="718">
        <f>industrie!C18</f>
        <v>0</v>
      </c>
      <c r="E13" s="718">
        <f>industrie!D18</f>
        <v>37805.315810252869</v>
      </c>
      <c r="F13" s="718">
        <f>industrie!E18</f>
        <v>2906.0896691857711</v>
      </c>
      <c r="G13" s="718">
        <f>industrie!F18</f>
        <v>10035.548438927539</v>
      </c>
      <c r="H13" s="718">
        <f>industrie!G18</f>
        <v>0</v>
      </c>
      <c r="I13" s="718">
        <f>industrie!H18</f>
        <v>0</v>
      </c>
      <c r="J13" s="718">
        <f>industrie!I18</f>
        <v>0</v>
      </c>
      <c r="K13" s="718">
        <f>industrie!J18</f>
        <v>158.06877000750001</v>
      </c>
      <c r="L13" s="718">
        <f>industrie!K18</f>
        <v>0</v>
      </c>
      <c r="M13" s="718">
        <f>industrie!L18</f>
        <v>0</v>
      </c>
      <c r="N13" s="718">
        <f>industrie!M18</f>
        <v>0</v>
      </c>
      <c r="O13" s="718">
        <f>industrie!N18</f>
        <v>10499.110005856044</v>
      </c>
      <c r="P13" s="718">
        <f>industrie!O18</f>
        <v>0</v>
      </c>
      <c r="Q13" s="719">
        <f>industrie!P18</f>
        <v>0</v>
      </c>
      <c r="R13" s="721">
        <f>SUM(C13:Q13)</f>
        <v>107220.56575217599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91392.294651209653</v>
      </c>
      <c r="D15" s="723">
        <f t="shared" ref="D15:Q15" ca="1" si="0">SUM(D9:D14)</f>
        <v>239.19642857142858</v>
      </c>
      <c r="E15" s="723">
        <f t="shared" ca="1" si="0"/>
        <v>98096.900164668798</v>
      </c>
      <c r="F15" s="723">
        <f t="shared" si="0"/>
        <v>14073.446461952768</v>
      </c>
      <c r="G15" s="723">
        <f t="shared" ca="1" si="0"/>
        <v>59352.926229802877</v>
      </c>
      <c r="H15" s="723">
        <f t="shared" si="0"/>
        <v>0</v>
      </c>
      <c r="I15" s="723">
        <f t="shared" si="0"/>
        <v>0</v>
      </c>
      <c r="J15" s="723">
        <f t="shared" si="0"/>
        <v>0</v>
      </c>
      <c r="K15" s="723">
        <f t="shared" si="0"/>
        <v>158.1281083640491</v>
      </c>
      <c r="L15" s="723">
        <f t="shared" si="0"/>
        <v>0</v>
      </c>
      <c r="M15" s="723">
        <f t="shared" ca="1" si="0"/>
        <v>0</v>
      </c>
      <c r="N15" s="723">
        <f t="shared" si="0"/>
        <v>0</v>
      </c>
      <c r="O15" s="723">
        <f t="shared" ca="1" si="0"/>
        <v>23699.871219608645</v>
      </c>
      <c r="P15" s="723">
        <f t="shared" si="0"/>
        <v>411.15666666666669</v>
      </c>
      <c r="Q15" s="724">
        <f t="shared" si="0"/>
        <v>1963.8666666666666</v>
      </c>
      <c r="R15" s="725">
        <f ca="1">SUM(R9:R14)</f>
        <v>289387.7865975115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1609.6396495970544</v>
      </c>
      <c r="I18" s="718">
        <f>transport!H54</f>
        <v>0</v>
      </c>
      <c r="J18" s="718">
        <f>transport!I54</f>
        <v>0</v>
      </c>
      <c r="K18" s="718">
        <f>transport!J54</f>
        <v>0</v>
      </c>
      <c r="L18" s="718">
        <f>transport!K54</f>
        <v>0</v>
      </c>
      <c r="M18" s="718">
        <f>transport!L54</f>
        <v>0</v>
      </c>
      <c r="N18" s="718">
        <f>transport!M54</f>
        <v>91.420426219927904</v>
      </c>
      <c r="O18" s="718">
        <f>transport!N54</f>
        <v>0</v>
      </c>
      <c r="P18" s="718">
        <f>transport!O54</f>
        <v>0</v>
      </c>
      <c r="Q18" s="719">
        <f>transport!P54</f>
        <v>0</v>
      </c>
      <c r="R18" s="721">
        <f>SUM(C18:Q18)</f>
        <v>1701.0600758169824</v>
      </c>
      <c r="S18" s="67"/>
    </row>
    <row r="19" spans="1:19" s="474" customFormat="1" ht="15" thickBot="1">
      <c r="A19" s="870" t="s">
        <v>307</v>
      </c>
      <c r="B19" s="875"/>
      <c r="C19" s="727">
        <f>transport!B14</f>
        <v>78.958304328803976</v>
      </c>
      <c r="D19" s="727">
        <f>transport!C14</f>
        <v>0</v>
      </c>
      <c r="E19" s="727">
        <f>transport!D14</f>
        <v>263.66655585521482</v>
      </c>
      <c r="F19" s="727">
        <f>transport!E14</f>
        <v>393.18889695744184</v>
      </c>
      <c r="G19" s="727">
        <f>transport!F14</f>
        <v>0</v>
      </c>
      <c r="H19" s="727">
        <f>transport!G14</f>
        <v>134076.48082684915</v>
      </c>
      <c r="I19" s="727">
        <f>transport!H14</f>
        <v>30373.760806546517</v>
      </c>
      <c r="J19" s="727">
        <f>transport!I14</f>
        <v>0</v>
      </c>
      <c r="K19" s="727">
        <f>transport!J14</f>
        <v>0</v>
      </c>
      <c r="L19" s="727">
        <f>transport!K14</f>
        <v>0</v>
      </c>
      <c r="M19" s="727">
        <f>transport!L14</f>
        <v>0</v>
      </c>
      <c r="N19" s="727">
        <f>transport!M14</f>
        <v>8734.9675136096721</v>
      </c>
      <c r="O19" s="727">
        <f>transport!N14</f>
        <v>0</v>
      </c>
      <c r="P19" s="727">
        <f>transport!O14</f>
        <v>0</v>
      </c>
      <c r="Q19" s="728">
        <f>transport!P14</f>
        <v>0</v>
      </c>
      <c r="R19" s="729">
        <f>SUM(C19:Q19)</f>
        <v>173921.02290414681</v>
      </c>
      <c r="S19" s="67"/>
    </row>
    <row r="20" spans="1:19" s="474" customFormat="1" ht="15.75" thickBot="1">
      <c r="A20" s="730" t="s">
        <v>230</v>
      </c>
      <c r="B20" s="878"/>
      <c r="C20" s="873">
        <f>SUM(C17:C19)</f>
        <v>78.958304328803976</v>
      </c>
      <c r="D20" s="731">
        <f t="shared" ref="D20:R20" si="1">SUM(D17:D19)</f>
        <v>0</v>
      </c>
      <c r="E20" s="731">
        <f t="shared" si="1"/>
        <v>263.66655585521482</v>
      </c>
      <c r="F20" s="731">
        <f t="shared" si="1"/>
        <v>393.18889695744184</v>
      </c>
      <c r="G20" s="731">
        <f t="shared" si="1"/>
        <v>0</v>
      </c>
      <c r="H20" s="731">
        <f t="shared" si="1"/>
        <v>135686.1204764462</v>
      </c>
      <c r="I20" s="731">
        <f t="shared" si="1"/>
        <v>30373.760806546517</v>
      </c>
      <c r="J20" s="731">
        <f t="shared" si="1"/>
        <v>0</v>
      </c>
      <c r="K20" s="731">
        <f t="shared" si="1"/>
        <v>0</v>
      </c>
      <c r="L20" s="731">
        <f t="shared" si="1"/>
        <v>0</v>
      </c>
      <c r="M20" s="731">
        <f t="shared" si="1"/>
        <v>0</v>
      </c>
      <c r="N20" s="731">
        <f t="shared" si="1"/>
        <v>8826.3879398295994</v>
      </c>
      <c r="O20" s="731">
        <f t="shared" si="1"/>
        <v>0</v>
      </c>
      <c r="P20" s="731">
        <f t="shared" si="1"/>
        <v>0</v>
      </c>
      <c r="Q20" s="732">
        <f t="shared" si="1"/>
        <v>0</v>
      </c>
      <c r="R20" s="733">
        <f t="shared" si="1"/>
        <v>175622.0829799638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624.63522682895996</v>
      </c>
      <c r="D22" s="727">
        <f>+landbouw!C8</f>
        <v>0</v>
      </c>
      <c r="E22" s="727">
        <f>+landbouw!D8</f>
        <v>1548.6916713424207</v>
      </c>
      <c r="F22" s="727">
        <f>+landbouw!E8</f>
        <v>18.359937172693492</v>
      </c>
      <c r="G22" s="727">
        <f>+landbouw!F8</f>
        <v>2602.1966014534332</v>
      </c>
      <c r="H22" s="727">
        <f>+landbouw!G8</f>
        <v>0</v>
      </c>
      <c r="I22" s="727">
        <f>+landbouw!H8</f>
        <v>0</v>
      </c>
      <c r="J22" s="727">
        <f>+landbouw!I8</f>
        <v>0</v>
      </c>
      <c r="K22" s="727">
        <f>+landbouw!J8</f>
        <v>90.496230172469382</v>
      </c>
      <c r="L22" s="727">
        <f>+landbouw!K8</f>
        <v>0</v>
      </c>
      <c r="M22" s="727">
        <f>+landbouw!L8</f>
        <v>0</v>
      </c>
      <c r="N22" s="727">
        <f>+landbouw!M8</f>
        <v>0</v>
      </c>
      <c r="O22" s="727">
        <f>+landbouw!N8</f>
        <v>0</v>
      </c>
      <c r="P22" s="727">
        <f>+landbouw!O8</f>
        <v>0</v>
      </c>
      <c r="Q22" s="728">
        <f>+landbouw!P8</f>
        <v>0</v>
      </c>
      <c r="R22" s="729">
        <f>SUM(C22:Q22)</f>
        <v>4884.3796669699768</v>
      </c>
      <c r="S22" s="67"/>
    </row>
    <row r="23" spans="1:19" s="474" customFormat="1" ht="17.25" thickTop="1" thickBot="1">
      <c r="A23" s="734" t="s">
        <v>116</v>
      </c>
      <c r="B23" s="864"/>
      <c r="C23" s="735">
        <f ca="1">C20+C15+C22</f>
        <v>92095.888182367416</v>
      </c>
      <c r="D23" s="735">
        <f t="shared" ref="D23:Q23" ca="1" si="2">D20+D15+D22</f>
        <v>239.19642857142858</v>
      </c>
      <c r="E23" s="735">
        <f t="shared" ca="1" si="2"/>
        <v>99909.258391866431</v>
      </c>
      <c r="F23" s="735">
        <f t="shared" si="2"/>
        <v>14484.995296082903</v>
      </c>
      <c r="G23" s="735">
        <f t="shared" ca="1" si="2"/>
        <v>61955.122831256311</v>
      </c>
      <c r="H23" s="735">
        <f t="shared" si="2"/>
        <v>135686.1204764462</v>
      </c>
      <c r="I23" s="735">
        <f t="shared" si="2"/>
        <v>30373.760806546517</v>
      </c>
      <c r="J23" s="735">
        <f t="shared" si="2"/>
        <v>0</v>
      </c>
      <c r="K23" s="735">
        <f t="shared" si="2"/>
        <v>248.62433853651848</v>
      </c>
      <c r="L23" s="735">
        <f t="shared" si="2"/>
        <v>0</v>
      </c>
      <c r="M23" s="735">
        <f t="shared" ca="1" si="2"/>
        <v>0</v>
      </c>
      <c r="N23" s="735">
        <f t="shared" si="2"/>
        <v>8826.3879398295994</v>
      </c>
      <c r="O23" s="735">
        <f t="shared" ca="1" si="2"/>
        <v>23699.871219608645</v>
      </c>
      <c r="P23" s="735">
        <f t="shared" si="2"/>
        <v>411.15666666666669</v>
      </c>
      <c r="Q23" s="736">
        <f t="shared" si="2"/>
        <v>1963.8666666666666</v>
      </c>
      <c r="R23" s="737">
        <f ca="1">R20+R15+R22</f>
        <v>469894.24924444529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3276.6192846474655</v>
      </c>
      <c r="D36" s="718">
        <f ca="1">tertiair!C20</f>
        <v>43.783814795064643</v>
      </c>
      <c r="E36" s="718">
        <f ca="1">tertiair!D20</f>
        <v>2876.3279553902939</v>
      </c>
      <c r="F36" s="718">
        <f>tertiair!E20</f>
        <v>39.214423706562158</v>
      </c>
      <c r="G36" s="718">
        <f ca="1">tertiair!F20</f>
        <v>709.93131343528057</v>
      </c>
      <c r="H36" s="718">
        <f>tertiair!G20</f>
        <v>0</v>
      </c>
      <c r="I36" s="718">
        <f>tertiair!H20</f>
        <v>0</v>
      </c>
      <c r="J36" s="718">
        <f>tertiair!I20</f>
        <v>0</v>
      </c>
      <c r="K36" s="718">
        <f>tertiair!J20</f>
        <v>2.100577821838091E-2</v>
      </c>
      <c r="L36" s="718">
        <f>tertiair!K20</f>
        <v>0</v>
      </c>
      <c r="M36" s="718">
        <f ca="1">tertiair!L20</f>
        <v>0</v>
      </c>
      <c r="N36" s="718">
        <f>tertiair!M20</f>
        <v>0</v>
      </c>
      <c r="O36" s="718">
        <f ca="1">tertiair!N20</f>
        <v>0</v>
      </c>
      <c r="P36" s="718">
        <f>tertiair!O20</f>
        <v>0</v>
      </c>
      <c r="Q36" s="828">
        <f>tertiair!P20</f>
        <v>0</v>
      </c>
      <c r="R36" s="917">
        <f ca="1">SUM(C36:Q36)</f>
        <v>6945.8977977528857</v>
      </c>
    </row>
    <row r="37" spans="1:18">
      <c r="A37" s="885" t="s">
        <v>225</v>
      </c>
      <c r="B37" s="892"/>
      <c r="C37" s="718">
        <f ca="1">huishoudens!B12</f>
        <v>6245.3184241745776</v>
      </c>
      <c r="D37" s="718">
        <f ca="1">huishoudens!C12</f>
        <v>0</v>
      </c>
      <c r="E37" s="718">
        <f>huishoudens!D12</f>
        <v>9302.5720842017272</v>
      </c>
      <c r="F37" s="718">
        <f>huishoudens!E12</f>
        <v>2495.7755682515462</v>
      </c>
      <c r="G37" s="718">
        <f>huishoudens!F12</f>
        <v>12457.808556728434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30501.474633356287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9572.1991064380309</v>
      </c>
      <c r="D39" s="718">
        <f ca="1">industrie!C22</f>
        <v>0</v>
      </c>
      <c r="E39" s="718">
        <f>industrie!D22</f>
        <v>7636.6737936710797</v>
      </c>
      <c r="F39" s="718">
        <f>industrie!E22</f>
        <v>659.68235490517009</v>
      </c>
      <c r="G39" s="718">
        <f>industrie!F22</f>
        <v>2679.4914331936529</v>
      </c>
      <c r="H39" s="718">
        <f>industrie!G22</f>
        <v>0</v>
      </c>
      <c r="I39" s="718">
        <f>industrie!H22</f>
        <v>0</v>
      </c>
      <c r="J39" s="718">
        <f>industrie!I22</f>
        <v>0</v>
      </c>
      <c r="K39" s="718">
        <f>industrie!J22</f>
        <v>55.956344582654999</v>
      </c>
      <c r="L39" s="718">
        <f>industrie!K22</f>
        <v>0</v>
      </c>
      <c r="M39" s="718">
        <f>industrie!L22</f>
        <v>0</v>
      </c>
      <c r="N39" s="718">
        <f>industrie!M22</f>
        <v>0</v>
      </c>
      <c r="O39" s="718">
        <f>industrie!N22</f>
        <v>0</v>
      </c>
      <c r="P39" s="718">
        <f>industrie!O22</f>
        <v>0</v>
      </c>
      <c r="Q39" s="828">
        <f>industrie!P22</f>
        <v>0</v>
      </c>
      <c r="R39" s="918">
        <f ca="1">SUM(C39:Q39)</f>
        <v>20604.003032790588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19094.136815260073</v>
      </c>
      <c r="D41" s="763">
        <f t="shared" ref="D41:R41" ca="1" si="4">SUM(D35:D40)</f>
        <v>43.783814795064643</v>
      </c>
      <c r="E41" s="763">
        <f t="shared" ca="1" si="4"/>
        <v>19815.573833263101</v>
      </c>
      <c r="F41" s="763">
        <f t="shared" si="4"/>
        <v>3194.6723468632786</v>
      </c>
      <c r="G41" s="763">
        <f t="shared" ca="1" si="4"/>
        <v>15847.231303357366</v>
      </c>
      <c r="H41" s="763">
        <f t="shared" si="4"/>
        <v>0</v>
      </c>
      <c r="I41" s="763">
        <f t="shared" si="4"/>
        <v>0</v>
      </c>
      <c r="J41" s="763">
        <f t="shared" si="4"/>
        <v>0</v>
      </c>
      <c r="K41" s="763">
        <f t="shared" si="4"/>
        <v>55.97735036087338</v>
      </c>
      <c r="L41" s="763">
        <f t="shared" si="4"/>
        <v>0</v>
      </c>
      <c r="M41" s="763">
        <f t="shared" ca="1" si="4"/>
        <v>0</v>
      </c>
      <c r="N41" s="763">
        <f t="shared" si="4"/>
        <v>0</v>
      </c>
      <c r="O41" s="763">
        <f t="shared" ca="1" si="4"/>
        <v>0</v>
      </c>
      <c r="P41" s="763">
        <f t="shared" si="4"/>
        <v>0</v>
      </c>
      <c r="Q41" s="764">
        <f t="shared" si="4"/>
        <v>0</v>
      </c>
      <c r="R41" s="765">
        <f t="shared" ca="1" si="4"/>
        <v>58051.375463899763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429.77378644241355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429.77378644241355</v>
      </c>
    </row>
    <row r="45" spans="1:18" ht="15" thickBot="1">
      <c r="A45" s="888" t="s">
        <v>307</v>
      </c>
      <c r="B45" s="898"/>
      <c r="C45" s="727">
        <f ca="1">transport!B18</f>
        <v>16.496365161952632</v>
      </c>
      <c r="D45" s="727">
        <f>transport!C18</f>
        <v>0</v>
      </c>
      <c r="E45" s="727">
        <f>transport!D18</f>
        <v>53.260644282753397</v>
      </c>
      <c r="F45" s="727">
        <f>transport!E18</f>
        <v>89.253879609339307</v>
      </c>
      <c r="G45" s="727">
        <f>transport!F18</f>
        <v>0</v>
      </c>
      <c r="H45" s="727">
        <f>transport!G18</f>
        <v>35798.420380768723</v>
      </c>
      <c r="I45" s="727">
        <f>transport!H18</f>
        <v>7563.0664408300827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43520.497710652846</v>
      </c>
    </row>
    <row r="46" spans="1:18" ht="15.75" thickBot="1">
      <c r="A46" s="886" t="s">
        <v>230</v>
      </c>
      <c r="B46" s="899"/>
      <c r="C46" s="763">
        <f t="shared" ref="C46:R46" ca="1" si="5">SUM(C43:C45)</f>
        <v>16.496365161952632</v>
      </c>
      <c r="D46" s="763">
        <f t="shared" ca="1" si="5"/>
        <v>0</v>
      </c>
      <c r="E46" s="763">
        <f t="shared" si="5"/>
        <v>53.260644282753397</v>
      </c>
      <c r="F46" s="763">
        <f t="shared" si="5"/>
        <v>89.253879609339307</v>
      </c>
      <c r="G46" s="763">
        <f t="shared" si="5"/>
        <v>0</v>
      </c>
      <c r="H46" s="763">
        <f t="shared" si="5"/>
        <v>36228.194167211135</v>
      </c>
      <c r="I46" s="763">
        <f t="shared" si="5"/>
        <v>7563.0664408300827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43950.271497095258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130.50192607835248</v>
      </c>
      <c r="D48" s="718">
        <f ca="1">+landbouw!C12</f>
        <v>0</v>
      </c>
      <c r="E48" s="718">
        <f>+landbouw!D12</f>
        <v>312.835717611169</v>
      </c>
      <c r="F48" s="718">
        <f>+landbouw!E12</f>
        <v>4.1677057382014224</v>
      </c>
      <c r="G48" s="718">
        <f>+landbouw!F12</f>
        <v>694.78649258806672</v>
      </c>
      <c r="H48" s="718">
        <f>+landbouw!G12</f>
        <v>0</v>
      </c>
      <c r="I48" s="718">
        <f>+landbouw!H12</f>
        <v>0</v>
      </c>
      <c r="J48" s="718">
        <f>+landbouw!I12</f>
        <v>0</v>
      </c>
      <c r="K48" s="718">
        <f>+landbouw!J12</f>
        <v>32.03566548105416</v>
      </c>
      <c r="L48" s="718">
        <f>+landbouw!K12</f>
        <v>0</v>
      </c>
      <c r="M48" s="718">
        <f>+landbouw!L12</f>
        <v>0</v>
      </c>
      <c r="N48" s="718">
        <f>+landbouw!M12</f>
        <v>0</v>
      </c>
      <c r="O48" s="718">
        <f>+landbouw!N12</f>
        <v>0</v>
      </c>
      <c r="P48" s="718">
        <f>+landbouw!O12</f>
        <v>0</v>
      </c>
      <c r="Q48" s="719">
        <f>+landbouw!P12</f>
        <v>0</v>
      </c>
      <c r="R48" s="761">
        <f ca="1">SUM(C48:Q48)</f>
        <v>1174.3275074968437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19241.135106500376</v>
      </c>
      <c r="D53" s="773">
        <f t="shared" ref="D53:Q53" ca="1" si="6">D41+D46+D48</f>
        <v>43.783814795064643</v>
      </c>
      <c r="E53" s="773">
        <f t="shared" ca="1" si="6"/>
        <v>20181.670195157021</v>
      </c>
      <c r="F53" s="773">
        <f t="shared" si="6"/>
        <v>3288.0939322108193</v>
      </c>
      <c r="G53" s="773">
        <f t="shared" ca="1" si="6"/>
        <v>16542.017795945434</v>
      </c>
      <c r="H53" s="773">
        <f t="shared" si="6"/>
        <v>36228.194167211135</v>
      </c>
      <c r="I53" s="773">
        <f t="shared" si="6"/>
        <v>7563.0664408300827</v>
      </c>
      <c r="J53" s="773">
        <f t="shared" si="6"/>
        <v>0</v>
      </c>
      <c r="K53" s="773">
        <f t="shared" si="6"/>
        <v>88.01301584192754</v>
      </c>
      <c r="L53" s="773">
        <f t="shared" si="6"/>
        <v>0</v>
      </c>
      <c r="M53" s="773">
        <f t="shared" ca="1" si="6"/>
        <v>0</v>
      </c>
      <c r="N53" s="773">
        <f t="shared" si="6"/>
        <v>0</v>
      </c>
      <c r="O53" s="773">
        <f t="shared" ca="1" si="6"/>
        <v>0</v>
      </c>
      <c r="P53" s="773">
        <f>P41+P46+P48</f>
        <v>0</v>
      </c>
      <c r="Q53" s="774">
        <f t="shared" si="6"/>
        <v>0</v>
      </c>
      <c r="R53" s="775">
        <f ca="1">R41+R46+R48</f>
        <v>103175.97446849186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0.20892501811154979</v>
      </c>
      <c r="D55" s="836">
        <f t="shared" ca="1" si="7"/>
        <v>0.18304543699317805</v>
      </c>
      <c r="E55" s="836">
        <f t="shared" ca="1" si="7"/>
        <v>0.20200000000000001</v>
      </c>
      <c r="F55" s="836">
        <f t="shared" si="7"/>
        <v>0.22700000000000001</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193.49682045051193</v>
      </c>
      <c r="C65" s="795">
        <f>'lokale energieproductie'!B5</f>
        <v>193.49682045051193</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4808.0336055703601</v>
      </c>
      <c r="C66" s="795">
        <f>'lokale energieproductie'!B6</f>
        <v>4808.0336055703601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177</v>
      </c>
      <c r="C67" s="794">
        <f>B67*IFERROR(SUM(J67:L67)/SUM(D67:M67),0)</f>
        <v>40.667396061269145</v>
      </c>
      <c r="D67" s="826">
        <f>'lokale energieproductie'!C7</f>
        <v>160.39129875144809</v>
      </c>
      <c r="E67" s="827">
        <f>'lokale energieproductie'!D7</f>
        <v>0</v>
      </c>
      <c r="F67" s="827">
        <f>'lokale energieproductie'!E7</f>
        <v>0</v>
      </c>
      <c r="G67" s="827">
        <f>'lokale energieproductie'!F7</f>
        <v>0</v>
      </c>
      <c r="H67" s="827">
        <f>'lokale energieproductie'!G7</f>
        <v>0</v>
      </c>
      <c r="I67" s="827">
        <f>'lokale energieproductie'!H7</f>
        <v>0</v>
      </c>
      <c r="J67" s="827">
        <f>'lokale energieproductie'!I7</f>
        <v>47.843995366199003</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32.399042347792516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5178.5304260208723</v>
      </c>
      <c r="C69" s="803">
        <f>SUM(C64:C68)</f>
        <v>5042.1978220821411</v>
      </c>
      <c r="D69" s="804">
        <f t="shared" ref="D69:M69" si="8">SUM(D67:D68)</f>
        <v>160.39129875144809</v>
      </c>
      <c r="E69" s="804">
        <f t="shared" si="8"/>
        <v>0</v>
      </c>
      <c r="F69" s="804">
        <f t="shared" si="8"/>
        <v>0</v>
      </c>
      <c r="G69" s="804">
        <f t="shared" si="8"/>
        <v>0</v>
      </c>
      <c r="H69" s="804">
        <f t="shared" si="8"/>
        <v>0</v>
      </c>
      <c r="I69" s="804">
        <f t="shared" si="8"/>
        <v>0</v>
      </c>
      <c r="J69" s="804">
        <f t="shared" si="8"/>
        <v>47.843995366199003</v>
      </c>
      <c r="K69" s="804">
        <f t="shared" si="8"/>
        <v>0</v>
      </c>
      <c r="L69" s="804">
        <f t="shared" si="8"/>
        <v>0</v>
      </c>
      <c r="M69" s="930">
        <f t="shared" si="8"/>
        <v>0</v>
      </c>
      <c r="N69" s="805">
        <v>0</v>
      </c>
      <c r="O69" s="805">
        <f>SUM(O67:O68)</f>
        <v>32.399042347792516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239.19642857142858</v>
      </c>
      <c r="C78" s="817">
        <f>B78*IFERROR(SUM(I78:L78)/SUM(D78:M78),0)</f>
        <v>54.957603938730855</v>
      </c>
      <c r="D78" s="832">
        <f>'lokale energieproductie'!C16</f>
        <v>216.75155839140911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64.656004633801004</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43.783814795064643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239.19642857142858</v>
      </c>
      <c r="C81" s="803">
        <f>SUM(C78:C80)</f>
        <v>54.957603938730855</v>
      </c>
      <c r="D81" s="803">
        <f t="shared" ref="D81:P81" si="9">SUM(D78:D80)</f>
        <v>216.75155839140911</v>
      </c>
      <c r="E81" s="803">
        <f t="shared" si="9"/>
        <v>0</v>
      </c>
      <c r="F81" s="803">
        <f t="shared" si="9"/>
        <v>0</v>
      </c>
      <c r="G81" s="803">
        <f t="shared" si="9"/>
        <v>0</v>
      </c>
      <c r="H81" s="803">
        <f t="shared" si="9"/>
        <v>0</v>
      </c>
      <c r="I81" s="803">
        <f t="shared" si="9"/>
        <v>0</v>
      </c>
      <c r="J81" s="803">
        <f t="shared" si="9"/>
        <v>64.656004633801004</v>
      </c>
      <c r="K81" s="803">
        <f t="shared" si="9"/>
        <v>0</v>
      </c>
      <c r="L81" s="803">
        <f t="shared" si="9"/>
        <v>0</v>
      </c>
      <c r="M81" s="803">
        <f t="shared" si="9"/>
        <v>0</v>
      </c>
      <c r="N81" s="803">
        <v>0</v>
      </c>
      <c r="O81" s="803">
        <f>SUM(O78:O80)</f>
        <v>43.783814795064643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29892.63076593374</v>
      </c>
      <c r="C4" s="478">
        <f>huishoudens!C8</f>
        <v>0</v>
      </c>
      <c r="D4" s="478">
        <f>huishoudens!D8</f>
        <v>46052.337050503593</v>
      </c>
      <c r="E4" s="478">
        <f>huishoudens!E8</f>
        <v>10994.60602753985</v>
      </c>
      <c r="F4" s="478">
        <f>huishoudens!F8</f>
        <v>46658.459013964173</v>
      </c>
      <c r="G4" s="478">
        <f>huishoudens!G8</f>
        <v>0</v>
      </c>
      <c r="H4" s="478">
        <f>huishoudens!H8</f>
        <v>0</v>
      </c>
      <c r="I4" s="478">
        <f>huishoudens!I8</f>
        <v>0</v>
      </c>
      <c r="J4" s="478">
        <f>huishoudens!J8</f>
        <v>0</v>
      </c>
      <c r="K4" s="478">
        <f>huishoudens!K8</f>
        <v>0</v>
      </c>
      <c r="L4" s="478">
        <f>huishoudens!L8</f>
        <v>0</v>
      </c>
      <c r="M4" s="478">
        <f>huishoudens!M8</f>
        <v>0</v>
      </c>
      <c r="N4" s="478">
        <f>huishoudens!N8</f>
        <v>10854.121012607831</v>
      </c>
      <c r="O4" s="478">
        <f>huishoudens!O8</f>
        <v>409.59333333333336</v>
      </c>
      <c r="P4" s="479">
        <f>huishoudens!P8</f>
        <v>1944.8</v>
      </c>
      <c r="Q4" s="480">
        <f>SUM(B4:P4)</f>
        <v>146806.54720388248</v>
      </c>
    </row>
    <row r="5" spans="1:17">
      <c r="A5" s="477" t="s">
        <v>156</v>
      </c>
      <c r="B5" s="478">
        <f ca="1">tertiair!B16</f>
        <v>14983.799827329658</v>
      </c>
      <c r="C5" s="478">
        <f ca="1">tertiair!C16</f>
        <v>239.19642857142858</v>
      </c>
      <c r="D5" s="478">
        <f ca="1">tertiair!D16</f>
        <v>14239.247303912345</v>
      </c>
      <c r="E5" s="478">
        <f>tertiair!E16</f>
        <v>172.75076522714608</v>
      </c>
      <c r="F5" s="478">
        <f ca="1">tertiair!F16</f>
        <v>2658.9187769111631</v>
      </c>
      <c r="G5" s="478">
        <f>tertiair!G16</f>
        <v>0</v>
      </c>
      <c r="H5" s="478">
        <f>tertiair!H16</f>
        <v>0</v>
      </c>
      <c r="I5" s="478">
        <f>tertiair!I16</f>
        <v>0</v>
      </c>
      <c r="J5" s="478">
        <f>tertiair!J16</f>
        <v>5.9338356549098623E-2</v>
      </c>
      <c r="K5" s="478">
        <f>tertiair!K16</f>
        <v>0</v>
      </c>
      <c r="L5" s="478">
        <f ca="1">tertiair!L16</f>
        <v>0</v>
      </c>
      <c r="M5" s="478">
        <f>tertiair!M16</f>
        <v>0</v>
      </c>
      <c r="N5" s="478">
        <f ca="1">tertiair!N16</f>
        <v>2346.6402011447708</v>
      </c>
      <c r="O5" s="478">
        <f>tertiair!O16</f>
        <v>1.5633333333333335</v>
      </c>
      <c r="P5" s="479">
        <f>tertiair!P16</f>
        <v>19.066666666666666</v>
      </c>
      <c r="Q5" s="477">
        <f t="shared" ref="Q5:Q13" ca="1" si="0">SUM(B5:P5)</f>
        <v>34661.242641453056</v>
      </c>
    </row>
    <row r="6" spans="1:17">
      <c r="A6" s="477" t="s">
        <v>194</v>
      </c>
      <c r="B6" s="478">
        <f>'openbare verlichting'!B8</f>
        <v>699.43100000000004</v>
      </c>
      <c r="C6" s="478"/>
      <c r="D6" s="478"/>
      <c r="E6" s="478"/>
      <c r="F6" s="478"/>
      <c r="G6" s="478"/>
      <c r="H6" s="478"/>
      <c r="I6" s="478"/>
      <c r="J6" s="478"/>
      <c r="K6" s="478"/>
      <c r="L6" s="478"/>
      <c r="M6" s="478"/>
      <c r="N6" s="478"/>
      <c r="O6" s="478"/>
      <c r="P6" s="479"/>
      <c r="Q6" s="477">
        <f t="shared" si="0"/>
        <v>699.43100000000004</v>
      </c>
    </row>
    <row r="7" spans="1:17">
      <c r="A7" s="477" t="s">
        <v>112</v>
      </c>
      <c r="B7" s="478">
        <f>landbouw!B8</f>
        <v>624.63522682895996</v>
      </c>
      <c r="C7" s="478">
        <f>landbouw!C8</f>
        <v>0</v>
      </c>
      <c r="D7" s="478">
        <f>landbouw!D8</f>
        <v>1548.6916713424207</v>
      </c>
      <c r="E7" s="478">
        <f>landbouw!E8</f>
        <v>18.359937172693492</v>
      </c>
      <c r="F7" s="478">
        <f>landbouw!F8</f>
        <v>2602.1966014534332</v>
      </c>
      <c r="G7" s="478">
        <f>landbouw!G8</f>
        <v>0</v>
      </c>
      <c r="H7" s="478">
        <f>landbouw!H8</f>
        <v>0</v>
      </c>
      <c r="I7" s="478">
        <f>landbouw!I8</f>
        <v>0</v>
      </c>
      <c r="J7" s="478">
        <f>landbouw!J8</f>
        <v>90.496230172469382</v>
      </c>
      <c r="K7" s="478">
        <f>landbouw!K8</f>
        <v>0</v>
      </c>
      <c r="L7" s="478">
        <f>landbouw!L8</f>
        <v>0</v>
      </c>
      <c r="M7" s="478">
        <f>landbouw!M8</f>
        <v>0</v>
      </c>
      <c r="N7" s="478">
        <f>landbouw!N8</f>
        <v>0</v>
      </c>
      <c r="O7" s="478">
        <f>landbouw!O8</f>
        <v>0</v>
      </c>
      <c r="P7" s="479">
        <f>landbouw!P8</f>
        <v>0</v>
      </c>
      <c r="Q7" s="477">
        <f t="shared" si="0"/>
        <v>4884.3796669699768</v>
      </c>
    </row>
    <row r="8" spans="1:17">
      <c r="A8" s="477" t="s">
        <v>635</v>
      </c>
      <c r="B8" s="478">
        <f>industrie!B18</f>
        <v>45816.433057946255</v>
      </c>
      <c r="C8" s="478">
        <f>industrie!C18</f>
        <v>0</v>
      </c>
      <c r="D8" s="478">
        <f>industrie!D18</f>
        <v>37805.315810252869</v>
      </c>
      <c r="E8" s="478">
        <f>industrie!E18</f>
        <v>2906.0896691857711</v>
      </c>
      <c r="F8" s="478">
        <f>industrie!F18</f>
        <v>10035.548438927539</v>
      </c>
      <c r="G8" s="478">
        <f>industrie!G18</f>
        <v>0</v>
      </c>
      <c r="H8" s="478">
        <f>industrie!H18</f>
        <v>0</v>
      </c>
      <c r="I8" s="478">
        <f>industrie!I18</f>
        <v>0</v>
      </c>
      <c r="J8" s="478">
        <f>industrie!J18</f>
        <v>158.06877000750001</v>
      </c>
      <c r="K8" s="478">
        <f>industrie!K18</f>
        <v>0</v>
      </c>
      <c r="L8" s="478">
        <f>industrie!L18</f>
        <v>0</v>
      </c>
      <c r="M8" s="478">
        <f>industrie!M18</f>
        <v>0</v>
      </c>
      <c r="N8" s="478">
        <f>industrie!N18</f>
        <v>10499.110005856044</v>
      </c>
      <c r="O8" s="478">
        <f>industrie!O18</f>
        <v>0</v>
      </c>
      <c r="P8" s="479">
        <f>industrie!P18</f>
        <v>0</v>
      </c>
      <c r="Q8" s="477">
        <f t="shared" si="0"/>
        <v>107220.56575217599</v>
      </c>
    </row>
    <row r="9" spans="1:17" s="483" customFormat="1">
      <c r="A9" s="481" t="s">
        <v>561</v>
      </c>
      <c r="B9" s="482">
        <f>transport!B14</f>
        <v>78.958304328803976</v>
      </c>
      <c r="C9" s="482">
        <f>transport!C14</f>
        <v>0</v>
      </c>
      <c r="D9" s="482">
        <f>transport!D14</f>
        <v>263.66655585521482</v>
      </c>
      <c r="E9" s="482">
        <f>transport!E14</f>
        <v>393.18889695744184</v>
      </c>
      <c r="F9" s="482">
        <f>transport!F14</f>
        <v>0</v>
      </c>
      <c r="G9" s="482">
        <f>transport!G14</f>
        <v>134076.48082684915</v>
      </c>
      <c r="H9" s="482">
        <f>transport!H14</f>
        <v>30373.760806546517</v>
      </c>
      <c r="I9" s="482">
        <f>transport!I14</f>
        <v>0</v>
      </c>
      <c r="J9" s="482">
        <f>transport!J14</f>
        <v>0</v>
      </c>
      <c r="K9" s="482">
        <f>transport!K14</f>
        <v>0</v>
      </c>
      <c r="L9" s="482">
        <f>transport!L14</f>
        <v>0</v>
      </c>
      <c r="M9" s="482">
        <f>transport!M14</f>
        <v>8734.9675136096721</v>
      </c>
      <c r="N9" s="482">
        <f>transport!N14</f>
        <v>0</v>
      </c>
      <c r="O9" s="482">
        <f>transport!O14</f>
        <v>0</v>
      </c>
      <c r="P9" s="482">
        <f>transport!P14</f>
        <v>0</v>
      </c>
      <c r="Q9" s="481">
        <f>SUM(B9:P9)</f>
        <v>173921.02290414681</v>
      </c>
    </row>
    <row r="10" spans="1:17">
      <c r="A10" s="477" t="s">
        <v>551</v>
      </c>
      <c r="B10" s="478">
        <f>transport!B54</f>
        <v>0</v>
      </c>
      <c r="C10" s="478">
        <f>transport!C54</f>
        <v>0</v>
      </c>
      <c r="D10" s="478">
        <f>transport!D54</f>
        <v>0</v>
      </c>
      <c r="E10" s="478">
        <f>transport!E54</f>
        <v>0</v>
      </c>
      <c r="F10" s="478">
        <f>transport!F54</f>
        <v>0</v>
      </c>
      <c r="G10" s="478">
        <f>transport!G54</f>
        <v>1609.6396495970544</v>
      </c>
      <c r="H10" s="478">
        <f>transport!H54</f>
        <v>0</v>
      </c>
      <c r="I10" s="478">
        <f>transport!I54</f>
        <v>0</v>
      </c>
      <c r="J10" s="478">
        <f>transport!J54</f>
        <v>0</v>
      </c>
      <c r="K10" s="478">
        <f>transport!K54</f>
        <v>0</v>
      </c>
      <c r="L10" s="478">
        <f>transport!L54</f>
        <v>0</v>
      </c>
      <c r="M10" s="478">
        <f>transport!M54</f>
        <v>91.420426219927904</v>
      </c>
      <c r="N10" s="478">
        <f>transport!N54</f>
        <v>0</v>
      </c>
      <c r="O10" s="478">
        <f>transport!O54</f>
        <v>0</v>
      </c>
      <c r="P10" s="479">
        <f>transport!P54</f>
        <v>0</v>
      </c>
      <c r="Q10" s="477">
        <f t="shared" si="0"/>
        <v>1701.0600758169824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92095.888182367416</v>
      </c>
      <c r="C14" s="488">
        <f t="shared" ref="C14:Q14" ca="1" si="1">SUM(C4:C13)</f>
        <v>239.19642857142858</v>
      </c>
      <c r="D14" s="488">
        <f t="shared" ca="1" si="1"/>
        <v>99909.258391866446</v>
      </c>
      <c r="E14" s="488">
        <f t="shared" si="1"/>
        <v>14484.995296082903</v>
      </c>
      <c r="F14" s="488">
        <f t="shared" ca="1" si="1"/>
        <v>61955.122831256311</v>
      </c>
      <c r="G14" s="488">
        <f t="shared" si="1"/>
        <v>135686.1204764462</v>
      </c>
      <c r="H14" s="488">
        <f t="shared" si="1"/>
        <v>30373.760806546517</v>
      </c>
      <c r="I14" s="488">
        <f t="shared" si="1"/>
        <v>0</v>
      </c>
      <c r="J14" s="488">
        <f t="shared" si="1"/>
        <v>248.62433853651851</v>
      </c>
      <c r="K14" s="488">
        <f t="shared" si="1"/>
        <v>0</v>
      </c>
      <c r="L14" s="488">
        <f t="shared" ca="1" si="1"/>
        <v>0</v>
      </c>
      <c r="M14" s="488">
        <f t="shared" si="1"/>
        <v>8826.3879398295994</v>
      </c>
      <c r="N14" s="488">
        <f t="shared" ca="1" si="1"/>
        <v>23699.871219608645</v>
      </c>
      <c r="O14" s="488">
        <f t="shared" si="1"/>
        <v>411.15666666666669</v>
      </c>
      <c r="P14" s="489">
        <f t="shared" si="1"/>
        <v>1963.8666666666666</v>
      </c>
      <c r="Q14" s="489">
        <f t="shared" ca="1" si="1"/>
        <v>469894.24924444529</v>
      </c>
    </row>
    <row r="16" spans="1:17">
      <c r="A16" s="491" t="s">
        <v>556</v>
      </c>
      <c r="B16" s="841">
        <f ca="1">huishoudens!B10</f>
        <v>0.20892501811154982</v>
      </c>
      <c r="C16" s="841">
        <f ca="1">huishoudens!C10</f>
        <v>0.18304543699317805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6245.3184241745776</v>
      </c>
      <c r="C21" s="478">
        <f t="shared" ref="C21:C30" ca="1" si="3">C4*$C$16</f>
        <v>0</v>
      </c>
      <c r="D21" s="478">
        <f t="shared" ref="D21:D30" si="4">D4*$D$16</f>
        <v>9302.5720842017272</v>
      </c>
      <c r="E21" s="478">
        <f t="shared" ref="E21:E30" si="5">E4*$E$16</f>
        <v>2495.7755682515462</v>
      </c>
      <c r="F21" s="478">
        <f t="shared" ref="F21:F30" si="6">F4*$F$16</f>
        <v>12457.808556728434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30501.474633356287</v>
      </c>
    </row>
    <row r="22" spans="1:17">
      <c r="A22" s="477" t="s">
        <v>156</v>
      </c>
      <c r="B22" s="478">
        <f t="shared" ca="1" si="2"/>
        <v>3130.4906503046859</v>
      </c>
      <c r="C22" s="478">
        <f t="shared" ca="1" si="3"/>
        <v>43.783814795064643</v>
      </c>
      <c r="D22" s="478">
        <f t="shared" ca="1" si="4"/>
        <v>2876.3279553902939</v>
      </c>
      <c r="E22" s="478">
        <f t="shared" si="5"/>
        <v>39.214423706562158</v>
      </c>
      <c r="F22" s="478">
        <f t="shared" ca="1" si="6"/>
        <v>709.93131343528057</v>
      </c>
      <c r="G22" s="478">
        <f t="shared" si="7"/>
        <v>0</v>
      </c>
      <c r="H22" s="478">
        <f t="shared" si="8"/>
        <v>0</v>
      </c>
      <c r="I22" s="478">
        <f t="shared" si="9"/>
        <v>0</v>
      </c>
      <c r="J22" s="478">
        <f t="shared" si="10"/>
        <v>2.100577821838091E-2</v>
      </c>
      <c r="K22" s="478">
        <f t="shared" si="11"/>
        <v>0</v>
      </c>
      <c r="L22" s="478">
        <f t="shared" ca="1" si="12"/>
        <v>0</v>
      </c>
      <c r="M22" s="478">
        <f t="shared" si="13"/>
        <v>0</v>
      </c>
      <c r="N22" s="478">
        <f t="shared" ca="1" si="14"/>
        <v>0</v>
      </c>
      <c r="O22" s="478">
        <f t="shared" si="15"/>
        <v>0</v>
      </c>
      <c r="P22" s="479">
        <f t="shared" si="16"/>
        <v>0</v>
      </c>
      <c r="Q22" s="477">
        <f t="shared" ref="Q22:Q30" ca="1" si="17">SUM(B22:P22)</f>
        <v>6799.7691634101056</v>
      </c>
    </row>
    <row r="23" spans="1:17">
      <c r="A23" s="477" t="s">
        <v>194</v>
      </c>
      <c r="B23" s="478">
        <f t="shared" ca="1" si="2"/>
        <v>146.12863434277941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146.12863434277941</v>
      </c>
    </row>
    <row r="24" spans="1:17">
      <c r="A24" s="477" t="s">
        <v>112</v>
      </c>
      <c r="B24" s="478">
        <f t="shared" ca="1" si="2"/>
        <v>130.50192607835248</v>
      </c>
      <c r="C24" s="478">
        <f t="shared" ca="1" si="3"/>
        <v>0</v>
      </c>
      <c r="D24" s="478">
        <f t="shared" si="4"/>
        <v>312.835717611169</v>
      </c>
      <c r="E24" s="478">
        <f t="shared" si="5"/>
        <v>4.1677057382014224</v>
      </c>
      <c r="F24" s="478">
        <f t="shared" si="6"/>
        <v>694.78649258806672</v>
      </c>
      <c r="G24" s="478">
        <f t="shared" si="7"/>
        <v>0</v>
      </c>
      <c r="H24" s="478">
        <f t="shared" si="8"/>
        <v>0</v>
      </c>
      <c r="I24" s="478">
        <f t="shared" si="9"/>
        <v>0</v>
      </c>
      <c r="J24" s="478">
        <f t="shared" si="10"/>
        <v>32.03566548105416</v>
      </c>
      <c r="K24" s="478">
        <f t="shared" si="11"/>
        <v>0</v>
      </c>
      <c r="L24" s="478">
        <f t="shared" si="12"/>
        <v>0</v>
      </c>
      <c r="M24" s="478">
        <f t="shared" si="13"/>
        <v>0</v>
      </c>
      <c r="N24" s="478">
        <f t="shared" si="14"/>
        <v>0</v>
      </c>
      <c r="O24" s="478">
        <f t="shared" si="15"/>
        <v>0</v>
      </c>
      <c r="P24" s="479">
        <f t="shared" si="16"/>
        <v>0</v>
      </c>
      <c r="Q24" s="477">
        <f t="shared" ca="1" si="17"/>
        <v>1174.3275074968437</v>
      </c>
    </row>
    <row r="25" spans="1:17">
      <c r="A25" s="477" t="s">
        <v>635</v>
      </c>
      <c r="B25" s="478">
        <f t="shared" ca="1" si="2"/>
        <v>9572.1991064380309</v>
      </c>
      <c r="C25" s="478">
        <f t="shared" ca="1" si="3"/>
        <v>0</v>
      </c>
      <c r="D25" s="478">
        <f t="shared" si="4"/>
        <v>7636.6737936710797</v>
      </c>
      <c r="E25" s="478">
        <f t="shared" si="5"/>
        <v>659.68235490517009</v>
      </c>
      <c r="F25" s="478">
        <f t="shared" si="6"/>
        <v>2679.4914331936529</v>
      </c>
      <c r="G25" s="478">
        <f t="shared" si="7"/>
        <v>0</v>
      </c>
      <c r="H25" s="478">
        <f t="shared" si="8"/>
        <v>0</v>
      </c>
      <c r="I25" s="478">
        <f t="shared" si="9"/>
        <v>0</v>
      </c>
      <c r="J25" s="478">
        <f t="shared" si="10"/>
        <v>55.956344582654999</v>
      </c>
      <c r="K25" s="478">
        <f t="shared" si="11"/>
        <v>0</v>
      </c>
      <c r="L25" s="478">
        <f t="shared" si="12"/>
        <v>0</v>
      </c>
      <c r="M25" s="478">
        <f t="shared" si="13"/>
        <v>0</v>
      </c>
      <c r="N25" s="478">
        <f t="shared" si="14"/>
        <v>0</v>
      </c>
      <c r="O25" s="478">
        <f t="shared" si="15"/>
        <v>0</v>
      </c>
      <c r="P25" s="479">
        <f t="shared" si="16"/>
        <v>0</v>
      </c>
      <c r="Q25" s="477">
        <f t="shared" ca="1" si="17"/>
        <v>20604.003032790588</v>
      </c>
    </row>
    <row r="26" spans="1:17" s="483" customFormat="1">
      <c r="A26" s="481" t="s">
        <v>561</v>
      </c>
      <c r="B26" s="835">
        <f t="shared" ca="1" si="2"/>
        <v>16.496365161952632</v>
      </c>
      <c r="C26" s="482">
        <f t="shared" ca="1" si="3"/>
        <v>0</v>
      </c>
      <c r="D26" s="482">
        <f t="shared" si="4"/>
        <v>53.260644282753397</v>
      </c>
      <c r="E26" s="482">
        <f t="shared" si="5"/>
        <v>89.253879609339307</v>
      </c>
      <c r="F26" s="482">
        <f t="shared" si="6"/>
        <v>0</v>
      </c>
      <c r="G26" s="482">
        <f t="shared" si="7"/>
        <v>35798.420380768723</v>
      </c>
      <c r="H26" s="482">
        <f t="shared" si="8"/>
        <v>7563.0664408300827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43520.497710652846</v>
      </c>
    </row>
    <row r="27" spans="1:17">
      <c r="A27" s="477" t="s">
        <v>551</v>
      </c>
      <c r="B27" s="478">
        <f t="shared" ca="1" si="2"/>
        <v>0</v>
      </c>
      <c r="C27" s="478">
        <f t="shared" ca="1" si="3"/>
        <v>0</v>
      </c>
      <c r="D27" s="478">
        <f t="shared" si="4"/>
        <v>0</v>
      </c>
      <c r="E27" s="478">
        <f t="shared" si="5"/>
        <v>0</v>
      </c>
      <c r="F27" s="478">
        <f t="shared" si="6"/>
        <v>0</v>
      </c>
      <c r="G27" s="478">
        <f t="shared" si="7"/>
        <v>429.77378644241355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429.77378644241355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19241.13510650038</v>
      </c>
      <c r="C31" s="488">
        <f t="shared" ca="1" si="18"/>
        <v>43.783814795064643</v>
      </c>
      <c r="D31" s="488">
        <f t="shared" ca="1" si="18"/>
        <v>20181.670195157021</v>
      </c>
      <c r="E31" s="488">
        <f t="shared" si="18"/>
        <v>3288.0939322108193</v>
      </c>
      <c r="F31" s="488">
        <f t="shared" ca="1" si="18"/>
        <v>16542.017795945434</v>
      </c>
      <c r="G31" s="488">
        <f t="shared" si="18"/>
        <v>36228.194167211135</v>
      </c>
      <c r="H31" s="488">
        <f t="shared" si="18"/>
        <v>7563.0664408300827</v>
      </c>
      <c r="I31" s="488">
        <f t="shared" si="18"/>
        <v>0</v>
      </c>
      <c r="J31" s="488">
        <f t="shared" si="18"/>
        <v>88.01301584192754</v>
      </c>
      <c r="K31" s="488">
        <f t="shared" si="18"/>
        <v>0</v>
      </c>
      <c r="L31" s="488">
        <f t="shared" ca="1" si="18"/>
        <v>0</v>
      </c>
      <c r="M31" s="488">
        <f t="shared" si="18"/>
        <v>0</v>
      </c>
      <c r="N31" s="488">
        <f t="shared" ca="1" si="18"/>
        <v>0</v>
      </c>
      <c r="O31" s="488">
        <f t="shared" si="18"/>
        <v>0</v>
      </c>
      <c r="P31" s="489">
        <f t="shared" si="18"/>
        <v>0</v>
      </c>
      <c r="Q31" s="489">
        <f t="shared" ca="1" si="18"/>
        <v>103175.97446849186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0.20892501811154982</v>
      </c>
      <c r="C17" s="528">
        <f ca="1">'EF ele_warmte'!B22</f>
        <v>0.18304543699317805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0.20892501811154982</v>
      </c>
      <c r="C17" s="528">
        <f ca="1">'EF ele_warmte'!B22</f>
        <v>0.18304543699317805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0.20892501811154982</v>
      </c>
      <c r="C29" s="529">
        <f ca="1">'EF ele_warmte'!B22</f>
        <v>0.18304543699317805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24094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6527</v>
      </c>
      <c r="C9" s="342">
        <v>6546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939.1</v>
      </c>
    </row>
    <row r="15" spans="1:6">
      <c r="A15" s="348" t="s">
        <v>184</v>
      </c>
      <c r="B15" s="334">
        <v>1</v>
      </c>
    </row>
    <row r="16" spans="1:6">
      <c r="A16" s="348" t="s">
        <v>6</v>
      </c>
      <c r="B16" s="334">
        <v>0</v>
      </c>
    </row>
    <row r="17" spans="1:6">
      <c r="A17" s="348" t="s">
        <v>7</v>
      </c>
      <c r="B17" s="334">
        <v>26</v>
      </c>
    </row>
    <row r="18" spans="1:6">
      <c r="A18" s="348" t="s">
        <v>8</v>
      </c>
      <c r="B18" s="334">
        <v>16</v>
      </c>
    </row>
    <row r="19" spans="1:6">
      <c r="A19" s="348" t="s">
        <v>9</v>
      </c>
      <c r="B19" s="334">
        <v>21</v>
      </c>
    </row>
    <row r="20" spans="1:6">
      <c r="A20" s="348" t="s">
        <v>10</v>
      </c>
      <c r="B20" s="334">
        <v>135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272</v>
      </c>
    </row>
    <row r="27" spans="1:6">
      <c r="A27" s="348" t="s">
        <v>17</v>
      </c>
      <c r="B27" s="334">
        <v>0</v>
      </c>
    </row>
    <row r="28" spans="1:6" s="356" customFormat="1">
      <c r="A28" s="355" t="s">
        <v>18</v>
      </c>
      <c r="B28" s="355">
        <v>0</v>
      </c>
    </row>
    <row r="29" spans="1:6">
      <c r="A29" s="355" t="s">
        <v>744</v>
      </c>
      <c r="B29" s="355">
        <v>54</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23584.509309436198</v>
      </c>
    </row>
    <row r="37" spans="1:6">
      <c r="A37" s="348" t="s">
        <v>25</v>
      </c>
      <c r="B37" s="348" t="s">
        <v>28</v>
      </c>
      <c r="C37" s="334">
        <v>0</v>
      </c>
      <c r="D37" s="334">
        <v>0</v>
      </c>
      <c r="E37" s="334">
        <v>0</v>
      </c>
      <c r="F37" s="334">
        <v>0</v>
      </c>
    </row>
    <row r="38" spans="1:6">
      <c r="A38" s="348" t="s">
        <v>25</v>
      </c>
      <c r="B38" s="348" t="s">
        <v>29</v>
      </c>
      <c r="C38" s="334">
        <v>0</v>
      </c>
      <c r="D38" s="334">
        <v>0</v>
      </c>
      <c r="E38" s="334">
        <v>2</v>
      </c>
      <c r="F38" s="334">
        <v>2094.9598488891002</v>
      </c>
    </row>
    <row r="39" spans="1:6">
      <c r="A39" s="348" t="s">
        <v>30</v>
      </c>
      <c r="B39" s="348" t="s">
        <v>31</v>
      </c>
      <c r="C39" s="334">
        <v>2966</v>
      </c>
      <c r="D39" s="334">
        <v>51055806.042686902</v>
      </c>
      <c r="E39" s="334">
        <v>6386</v>
      </c>
      <c r="F39" s="334">
        <v>25985579.990814801</v>
      </c>
    </row>
    <row r="40" spans="1:6">
      <c r="A40" s="348" t="s">
        <v>30</v>
      </c>
      <c r="B40" s="348" t="s">
        <v>29</v>
      </c>
      <c r="C40" s="334">
        <v>0</v>
      </c>
      <c r="D40" s="334">
        <v>0</v>
      </c>
      <c r="E40" s="334">
        <v>0</v>
      </c>
      <c r="F40" s="334">
        <v>0</v>
      </c>
    </row>
    <row r="41" spans="1:6">
      <c r="A41" s="348" t="s">
        <v>32</v>
      </c>
      <c r="B41" s="348" t="s">
        <v>33</v>
      </c>
      <c r="C41" s="334">
        <v>19</v>
      </c>
      <c r="D41" s="334">
        <v>341740.55373810203</v>
      </c>
      <c r="E41" s="334">
        <v>96</v>
      </c>
      <c r="F41" s="334">
        <v>1600150.1217650599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41134.800005450503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22602.3454062448</v>
      </c>
    </row>
    <row r="48" spans="1:6">
      <c r="A48" s="348" t="s">
        <v>32</v>
      </c>
      <c r="B48" s="348" t="s">
        <v>29</v>
      </c>
      <c r="C48" s="334">
        <v>43</v>
      </c>
      <c r="D48" s="334">
        <v>41571026.419934697</v>
      </c>
      <c r="E48" s="334">
        <v>61</v>
      </c>
      <c r="F48" s="334">
        <v>44152545.790769503</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14</v>
      </c>
      <c r="F51" s="334">
        <v>474236.62242426199</v>
      </c>
    </row>
    <row r="52" spans="1:6">
      <c r="A52" s="348" t="s">
        <v>42</v>
      </c>
      <c r="B52" s="348" t="s">
        <v>29</v>
      </c>
      <c r="C52" s="334">
        <v>5</v>
      </c>
      <c r="D52" s="334">
        <v>137257.094516868</v>
      </c>
      <c r="E52" s="334">
        <v>18</v>
      </c>
      <c r="F52" s="334">
        <v>150398.60440469801</v>
      </c>
    </row>
    <row r="53" spans="1:6">
      <c r="A53" s="348" t="s">
        <v>44</v>
      </c>
      <c r="B53" s="348" t="s">
        <v>45</v>
      </c>
      <c r="C53" s="334">
        <v>80</v>
      </c>
      <c r="D53" s="334">
        <v>1579695.9779248401</v>
      </c>
      <c r="E53" s="334">
        <v>216</v>
      </c>
      <c r="F53" s="334">
        <v>789187.538015823</v>
      </c>
    </row>
    <row r="54" spans="1:6">
      <c r="A54" s="348" t="s">
        <v>46</v>
      </c>
      <c r="B54" s="348" t="s">
        <v>47</v>
      </c>
      <c r="C54" s="334">
        <v>0</v>
      </c>
      <c r="D54" s="334">
        <v>0</v>
      </c>
      <c r="E54" s="334">
        <v>1</v>
      </c>
      <c r="F54" s="334">
        <v>699431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1740066.1893474399</v>
      </c>
      <c r="E57" s="334">
        <v>74</v>
      </c>
      <c r="F57" s="334">
        <v>1757661.6725127299</v>
      </c>
    </row>
    <row r="58" spans="1:6">
      <c r="A58" s="348" t="s">
        <v>49</v>
      </c>
      <c r="B58" s="348" t="s">
        <v>51</v>
      </c>
      <c r="C58" s="334">
        <v>10</v>
      </c>
      <c r="D58" s="334">
        <v>230884.13059203699</v>
      </c>
      <c r="E58" s="334">
        <v>22</v>
      </c>
      <c r="F58" s="334">
        <v>182958.70987504401</v>
      </c>
    </row>
    <row r="59" spans="1:6">
      <c r="A59" s="348" t="s">
        <v>49</v>
      </c>
      <c r="B59" s="348" t="s">
        <v>52</v>
      </c>
      <c r="C59" s="334">
        <v>17</v>
      </c>
      <c r="D59" s="334">
        <v>641847.616646223</v>
      </c>
      <c r="E59" s="334">
        <v>60</v>
      </c>
      <c r="F59" s="334">
        <v>1377866.48468873</v>
      </c>
    </row>
    <row r="60" spans="1:6">
      <c r="A60" s="348" t="s">
        <v>49</v>
      </c>
      <c r="B60" s="348" t="s">
        <v>53</v>
      </c>
      <c r="C60" s="334">
        <v>25</v>
      </c>
      <c r="D60" s="334">
        <v>1296406.38111775</v>
      </c>
      <c r="E60" s="334">
        <v>43</v>
      </c>
      <c r="F60" s="334">
        <v>802182.53357203398</v>
      </c>
    </row>
    <row r="61" spans="1:6">
      <c r="A61" s="348" t="s">
        <v>49</v>
      </c>
      <c r="B61" s="348" t="s">
        <v>54</v>
      </c>
      <c r="C61" s="334">
        <v>38</v>
      </c>
      <c r="D61" s="334">
        <v>2125394.5877387598</v>
      </c>
      <c r="E61" s="334">
        <v>220</v>
      </c>
      <c r="F61" s="334">
        <v>1902285.14193759</v>
      </c>
    </row>
    <row r="62" spans="1:6">
      <c r="A62" s="348" t="s">
        <v>49</v>
      </c>
      <c r="B62" s="348" t="s">
        <v>55</v>
      </c>
      <c r="C62" s="334">
        <v>3</v>
      </c>
      <c r="D62" s="334">
        <v>53411.445606771798</v>
      </c>
      <c r="E62" s="334">
        <v>4</v>
      </c>
      <c r="F62" s="334">
        <v>34644.094164578499</v>
      </c>
    </row>
    <row r="63" spans="1:6">
      <c r="A63" s="348" t="s">
        <v>49</v>
      </c>
      <c r="B63" s="348" t="s">
        <v>29</v>
      </c>
      <c r="C63" s="334">
        <v>177</v>
      </c>
      <c r="D63" s="334">
        <v>10116413.330830401</v>
      </c>
      <c r="E63" s="334">
        <v>242</v>
      </c>
      <c r="F63" s="334">
        <v>8749201.1905789506</v>
      </c>
    </row>
    <row r="64" spans="1:6">
      <c r="A64" s="348" t="s">
        <v>56</v>
      </c>
      <c r="B64" s="348" t="s">
        <v>57</v>
      </c>
      <c r="C64" s="334">
        <v>0</v>
      </c>
      <c r="D64" s="334">
        <v>0</v>
      </c>
      <c r="E64" s="334">
        <v>0</v>
      </c>
      <c r="F64" s="334">
        <v>0</v>
      </c>
    </row>
    <row r="65" spans="1:6">
      <c r="A65" s="348" t="s">
        <v>56</v>
      </c>
      <c r="B65" s="348" t="s">
        <v>29</v>
      </c>
      <c r="C65" s="334">
        <v>1</v>
      </c>
      <c r="D65" s="334">
        <v>28666.2807021884</v>
      </c>
      <c r="E65" s="334">
        <v>7</v>
      </c>
      <c r="F65" s="334">
        <v>134479.78954962801</v>
      </c>
    </row>
    <row r="66" spans="1:6">
      <c r="A66" s="348" t="s">
        <v>56</v>
      </c>
      <c r="B66" s="348" t="s">
        <v>58</v>
      </c>
      <c r="C66" s="334">
        <v>0</v>
      </c>
      <c r="D66" s="334">
        <v>0</v>
      </c>
      <c r="E66" s="334">
        <v>4</v>
      </c>
      <c r="F66" s="334">
        <v>41050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85019848</v>
      </c>
      <c r="E73" s="476">
        <v>87671920.168188974</v>
      </c>
    </row>
    <row r="74" spans="1:6">
      <c r="A74" s="348" t="s">
        <v>64</v>
      </c>
      <c r="B74" s="348" t="s">
        <v>657</v>
      </c>
      <c r="C74" s="1213" t="s">
        <v>659</v>
      </c>
      <c r="D74" s="476">
        <v>5431085.0390185164</v>
      </c>
      <c r="E74" s="476">
        <v>5564533.540077148</v>
      </c>
    </row>
    <row r="75" spans="1:6">
      <c r="A75" s="348" t="s">
        <v>65</v>
      </c>
      <c r="B75" s="348" t="s">
        <v>656</v>
      </c>
      <c r="C75" s="1213" t="s">
        <v>660</v>
      </c>
      <c r="D75" s="476">
        <v>23794720</v>
      </c>
      <c r="E75" s="476">
        <v>24616902.848354887</v>
      </c>
    </row>
    <row r="76" spans="1:6">
      <c r="A76" s="348" t="s">
        <v>65</v>
      </c>
      <c r="B76" s="348" t="s">
        <v>657</v>
      </c>
      <c r="C76" s="1213" t="s">
        <v>661</v>
      </c>
      <c r="D76" s="476">
        <v>247515.03901851608</v>
      </c>
      <c r="E76" s="476">
        <v>258202.89011920081</v>
      </c>
    </row>
    <row r="77" spans="1:6">
      <c r="A77" s="348" t="s">
        <v>66</v>
      </c>
      <c r="B77" s="348" t="s">
        <v>656</v>
      </c>
      <c r="C77" s="1213" t="s">
        <v>662</v>
      </c>
      <c r="D77" s="476">
        <v>91891175</v>
      </c>
      <c r="E77" s="476">
        <v>95961295.234450281</v>
      </c>
    </row>
    <row r="78" spans="1:6">
      <c r="A78" s="341" t="s">
        <v>66</v>
      </c>
      <c r="B78" s="341" t="s">
        <v>657</v>
      </c>
      <c r="C78" s="341" t="s">
        <v>663</v>
      </c>
      <c r="D78" s="1214">
        <v>9643416</v>
      </c>
      <c r="E78" s="1214">
        <v>10256196.0723926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461355.92196296784</v>
      </c>
      <c r="C83" s="476">
        <v>461983.75910724106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193.49682045051193</v>
      </c>
    </row>
    <row r="90" spans="1:6">
      <c r="A90" s="348" t="s">
        <v>549</v>
      </c>
      <c r="B90" s="1215">
        <v>0</v>
      </c>
    </row>
    <row r="91" spans="1:6">
      <c r="A91" s="348" t="s">
        <v>68</v>
      </c>
      <c r="B91" s="334">
        <v>3907.0507751189398</v>
      </c>
    </row>
    <row r="92" spans="1:6">
      <c r="A92" s="341" t="s">
        <v>69</v>
      </c>
      <c r="B92" s="342">
        <v>900.98283045142057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1003</v>
      </c>
    </row>
    <row r="98" spans="1:6">
      <c r="A98" s="348" t="s">
        <v>72</v>
      </c>
      <c r="B98" s="334">
        <v>4</v>
      </c>
    </row>
    <row r="99" spans="1:6">
      <c r="A99" s="348" t="s">
        <v>73</v>
      </c>
      <c r="B99" s="334">
        <v>252</v>
      </c>
    </row>
    <row r="100" spans="1:6">
      <c r="A100" s="348" t="s">
        <v>74</v>
      </c>
      <c r="B100" s="334">
        <v>479</v>
      </c>
    </row>
    <row r="101" spans="1:6">
      <c r="A101" s="348" t="s">
        <v>75</v>
      </c>
      <c r="B101" s="334">
        <v>73</v>
      </c>
    </row>
    <row r="102" spans="1:6">
      <c r="A102" s="348" t="s">
        <v>76</v>
      </c>
      <c r="B102" s="334">
        <v>50</v>
      </c>
    </row>
    <row r="103" spans="1:6">
      <c r="A103" s="348" t="s">
        <v>77</v>
      </c>
      <c r="B103" s="334">
        <v>111</v>
      </c>
    </row>
    <row r="104" spans="1:6">
      <c r="A104" s="348" t="s">
        <v>78</v>
      </c>
      <c r="B104" s="334">
        <v>3569</v>
      </c>
    </row>
    <row r="105" spans="1:6">
      <c r="A105" s="341" t="s">
        <v>79</v>
      </c>
      <c r="B105" s="341">
        <v>16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65</v>
      </c>
      <c r="C123" s="334">
        <v>51</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211</v>
      </c>
    </row>
    <row r="130" spans="1:6">
      <c r="A130" s="348" t="s">
        <v>295</v>
      </c>
      <c r="B130" s="334">
        <v>1</v>
      </c>
    </row>
    <row r="131" spans="1:6">
      <c r="A131" s="348" t="s">
        <v>296</v>
      </c>
      <c r="B131" s="334">
        <v>0</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92095.888182367416</v>
      </c>
      <c r="C3" s="43" t="s">
        <v>170</v>
      </c>
      <c r="D3" s="43"/>
      <c r="E3" s="154"/>
      <c r="F3" s="43"/>
      <c r="G3" s="43"/>
      <c r="H3" s="43"/>
      <c r="I3" s="43"/>
      <c r="J3" s="43"/>
      <c r="K3" s="96"/>
    </row>
    <row r="4" spans="1:11">
      <c r="A4" s="383" t="s">
        <v>171</v>
      </c>
      <c r="B4" s="49">
        <f>IF(ISERROR('SEAP template'!B69),0,'SEAP template'!B69)</f>
        <v>5178.5304260208723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32.399042347792516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0.20892501811154982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43.783814795064643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239.19642857142858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0.18304543699317805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699.43100000000004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699.43100000000004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0.20892501811154982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146.12863434277941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25985.5799908148</v>
      </c>
      <c r="C5" s="17">
        <f>IF(ISERROR('Eigen informatie GS &amp; warmtenet'!B57),0,'Eigen informatie GS &amp; warmtenet'!B57)</f>
        <v>0</v>
      </c>
      <c r="D5" s="30">
        <f>(SUM(HH_hh_gas_kWh,HH_rest_gas_kWh)/1000)*0.902</f>
        <v>46052.337050503593</v>
      </c>
      <c r="E5" s="17">
        <f>B46*B57</f>
        <v>10994.60602753985</v>
      </c>
      <c r="F5" s="17">
        <f>B51*B62</f>
        <v>46658.459013964173</v>
      </c>
      <c r="G5" s="18"/>
      <c r="H5" s="17"/>
      <c r="I5" s="17"/>
      <c r="J5" s="17">
        <f>B50*B61+C50*C61</f>
        <v>0</v>
      </c>
      <c r="K5" s="17"/>
      <c r="L5" s="17"/>
      <c r="M5" s="17"/>
      <c r="N5" s="17">
        <f>B48*B59+C48*C59</f>
        <v>10854.121012607831</v>
      </c>
      <c r="O5" s="17">
        <f>B69*B70*B71</f>
        <v>409.59333333333336</v>
      </c>
      <c r="P5" s="17">
        <f>B77*B78*B79/1000-B77*B78*B79/1000/B80</f>
        <v>1944.8</v>
      </c>
    </row>
    <row r="6" spans="1:16">
      <c r="A6" s="16" t="s">
        <v>621</v>
      </c>
      <c r="B6" s="843">
        <f>kWh_PV_kleiner_dan_10kW</f>
        <v>3907.0507751189398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29892.63076593374</v>
      </c>
      <c r="C8" s="21">
        <f>C5</f>
        <v>0</v>
      </c>
      <c r="D8" s="21">
        <f>D5</f>
        <v>46052.337050503593</v>
      </c>
      <c r="E8" s="21">
        <f>E5</f>
        <v>10994.60602753985</v>
      </c>
      <c r="F8" s="21">
        <f>F5</f>
        <v>46658.459013964173</v>
      </c>
      <c r="G8" s="21"/>
      <c r="H8" s="21"/>
      <c r="I8" s="21"/>
      <c r="J8" s="21">
        <f>J5</f>
        <v>0</v>
      </c>
      <c r="K8" s="21"/>
      <c r="L8" s="21">
        <f>L5</f>
        <v>0</v>
      </c>
      <c r="M8" s="21">
        <f>M5</f>
        <v>0</v>
      </c>
      <c r="N8" s="21">
        <f>N5</f>
        <v>10854.121012607831</v>
      </c>
      <c r="O8" s="21">
        <f>O5</f>
        <v>409.59333333333336</v>
      </c>
      <c r="P8" s="21">
        <f>P5</f>
        <v>1944.8</v>
      </c>
    </row>
    <row r="9" spans="1:16">
      <c r="B9" s="19"/>
      <c r="C9" s="19"/>
      <c r="D9" s="258"/>
      <c r="E9" s="19"/>
      <c r="F9" s="19"/>
      <c r="G9" s="19"/>
      <c r="H9" s="19"/>
      <c r="I9" s="19"/>
      <c r="J9" s="19"/>
      <c r="K9" s="19"/>
      <c r="L9" s="19"/>
      <c r="M9" s="19"/>
      <c r="N9" s="19"/>
      <c r="O9" s="19"/>
      <c r="P9" s="19"/>
    </row>
    <row r="10" spans="1:16">
      <c r="A10" s="24" t="s">
        <v>214</v>
      </c>
      <c r="B10" s="25">
        <f ca="1">'EF ele_warmte'!B12</f>
        <v>0.20892501811154982</v>
      </c>
      <c r="C10" s="25">
        <f ca="1">'EF ele_warmte'!B22</f>
        <v>0.18304543699317805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6245.3184241745776</v>
      </c>
      <c r="C12" s="23">
        <f ca="1">C10*C8</f>
        <v>0</v>
      </c>
      <c r="D12" s="23">
        <f>D8*D10</f>
        <v>9302.5720842017272</v>
      </c>
      <c r="E12" s="23">
        <f>E10*E8</f>
        <v>2495.7755682515462</v>
      </c>
      <c r="F12" s="23">
        <f>F10*F8</f>
        <v>12457.808556728434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1003</v>
      </c>
      <c r="C18" s="166" t="s">
        <v>111</v>
      </c>
      <c r="D18" s="228"/>
      <c r="E18" s="15"/>
    </row>
    <row r="19" spans="1:7">
      <c r="A19" s="171" t="s">
        <v>72</v>
      </c>
      <c r="B19" s="37">
        <f>aantalw2001_ander</f>
        <v>4</v>
      </c>
      <c r="C19" s="166" t="s">
        <v>111</v>
      </c>
      <c r="D19" s="229"/>
      <c r="E19" s="15"/>
    </row>
    <row r="20" spans="1:7">
      <c r="A20" s="171" t="s">
        <v>73</v>
      </c>
      <c r="B20" s="37">
        <f>aantalw2001_propaan</f>
        <v>252</v>
      </c>
      <c r="C20" s="167">
        <f>IF(ISERROR(B20/SUM($B$20,$B$21,$B$22)*100),0,B20/SUM($B$20,$B$21,$B$22)*100)</f>
        <v>31.343283582089555</v>
      </c>
      <c r="D20" s="229"/>
      <c r="E20" s="15"/>
    </row>
    <row r="21" spans="1:7">
      <c r="A21" s="171" t="s">
        <v>74</v>
      </c>
      <c r="B21" s="37">
        <f>aantalw2001_elektriciteit</f>
        <v>479</v>
      </c>
      <c r="C21" s="167">
        <f>IF(ISERROR(B21/SUM($B$20,$B$21,$B$22)*100),0,B21/SUM($B$20,$B$21,$B$22)*100)</f>
        <v>59.5771144278607</v>
      </c>
      <c r="D21" s="229"/>
      <c r="E21" s="15"/>
    </row>
    <row r="22" spans="1:7">
      <c r="A22" s="171" t="s">
        <v>75</v>
      </c>
      <c r="B22" s="37">
        <f>aantalw2001_hout</f>
        <v>73</v>
      </c>
      <c r="C22" s="167">
        <f>IF(ISERROR(B22/SUM($B$20,$B$21,$B$22)*100),0,B22/SUM($B$20,$B$21,$B$22)*100)</f>
        <v>9.0796019900497509</v>
      </c>
      <c r="D22" s="229"/>
      <c r="E22" s="15"/>
    </row>
    <row r="23" spans="1:7">
      <c r="A23" s="171" t="s">
        <v>76</v>
      </c>
      <c r="B23" s="37">
        <f>aantalw2001_niet_gespec</f>
        <v>50</v>
      </c>
      <c r="C23" s="166" t="s">
        <v>111</v>
      </c>
      <c r="D23" s="228"/>
      <c r="E23" s="15"/>
    </row>
    <row r="24" spans="1:7">
      <c r="A24" s="171" t="s">
        <v>77</v>
      </c>
      <c r="B24" s="37">
        <f>aantalw2001_steenkool</f>
        <v>111</v>
      </c>
      <c r="C24" s="166" t="s">
        <v>111</v>
      </c>
      <c r="D24" s="229"/>
      <c r="E24" s="15"/>
    </row>
    <row r="25" spans="1:7">
      <c r="A25" s="171" t="s">
        <v>78</v>
      </c>
      <c r="B25" s="37">
        <f>aantalw2001_stookolie</f>
        <v>3569</v>
      </c>
      <c r="C25" s="166" t="s">
        <v>111</v>
      </c>
      <c r="D25" s="228"/>
      <c r="E25" s="52"/>
    </row>
    <row r="26" spans="1:7">
      <c r="A26" s="171" t="s">
        <v>79</v>
      </c>
      <c r="B26" s="37">
        <f>aantalw2001_WP</f>
        <v>16</v>
      </c>
      <c r="C26" s="166" t="s">
        <v>111</v>
      </c>
      <c r="D26" s="228"/>
      <c r="E26" s="15"/>
    </row>
    <row r="27" spans="1:7" s="15" customFormat="1">
      <c r="A27" s="171"/>
      <c r="B27" s="29"/>
      <c r="C27" s="36"/>
      <c r="D27" s="228"/>
    </row>
    <row r="28" spans="1:7" s="15" customFormat="1">
      <c r="A28" s="230" t="s">
        <v>794</v>
      </c>
      <c r="B28" s="37">
        <f>aantalHuishoudens2011</f>
        <v>6527</v>
      </c>
      <c r="C28" s="36"/>
      <c r="D28" s="228"/>
    </row>
    <row r="29" spans="1:7" s="15" customFormat="1">
      <c r="A29" s="230" t="s">
        <v>795</v>
      </c>
      <c r="B29" s="37">
        <f>SUM(HH_hh_gas_aantal,HH_rest_gas_aantal)</f>
        <v>2966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2966</v>
      </c>
      <c r="C32" s="167">
        <f>IF(ISERROR(B32/SUM($B$32,$B$34,$B$35,$B$36,$B$38,$B$39)*100),0,B32/SUM($B$32,$B$34,$B$35,$B$36,$B$38,$B$39)*100)</f>
        <v>46.163424124513611</v>
      </c>
      <c r="D32" s="233"/>
      <c r="G32" s="15"/>
    </row>
    <row r="33" spans="1:7">
      <c r="A33" s="171" t="s">
        <v>72</v>
      </c>
      <c r="B33" s="34" t="s">
        <v>111</v>
      </c>
      <c r="C33" s="167"/>
      <c r="D33" s="233"/>
      <c r="G33" s="15"/>
    </row>
    <row r="34" spans="1:7">
      <c r="A34" s="171" t="s">
        <v>73</v>
      </c>
      <c r="B34" s="33">
        <f>IF((($B$28-$B$32-$B$39-$B$77-$B$38)*C20/100)&lt;0,0,($B$28-$B$32-$B$39-$B$77-$B$38)*C20/100)</f>
        <v>519.26417910447765</v>
      </c>
      <c r="C34" s="167">
        <f>IF(ISERROR(B34/SUM($B$32,$B$34,$B$35,$B$36,$B$38,$B$39)*100),0,B34/SUM($B$32,$B$34,$B$35,$B$36,$B$38,$B$39)*100)</f>
        <v>8.081932748707823</v>
      </c>
      <c r="D34" s="233"/>
      <c r="G34" s="15"/>
    </row>
    <row r="35" spans="1:7">
      <c r="A35" s="171" t="s">
        <v>74</v>
      </c>
      <c r="B35" s="33">
        <f>IF((($B$28-$B$32-$B$39-$B$77-$B$38)*C21/100)&lt;0,0,($B$28-$B$32-$B$39-$B$77-$B$38)*C21/100)</f>
        <v>987.01405472636816</v>
      </c>
      <c r="C35" s="167">
        <f>IF(ISERROR(B35/SUM($B$32,$B$34,$B$35,$B$36,$B$38,$B$39)*100),0,B35/SUM($B$32,$B$34,$B$35,$B$36,$B$38,$B$39)*100)</f>
        <v>15.362086454885105</v>
      </c>
      <c r="D35" s="233"/>
      <c r="G35" s="15"/>
    </row>
    <row r="36" spans="1:7">
      <c r="A36" s="171" t="s">
        <v>75</v>
      </c>
      <c r="B36" s="33">
        <f>IF((($B$28-$B$32-$B$39-$B$77-$B$38)*C22/100)&lt;0,0,($B$28-$B$32-$B$39-$B$77-$B$38)*C22/100)</f>
        <v>150.42176616915424</v>
      </c>
      <c r="C36" s="167">
        <f>IF(ISERROR(B36/SUM($B$32,$B$34,$B$35,$B$36,$B$38,$B$39)*100),0,B36/SUM($B$32,$B$34,$B$35,$B$36,$B$38,$B$39)*100)</f>
        <v>2.3411948041891706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1802.3</v>
      </c>
      <c r="C39" s="167">
        <f>IF(ISERROR(B39/SUM($B$32,$B$34,$B$35,$B$36,$B$38,$B$39)*100),0,B39/SUM($B$32,$B$34,$B$35,$B$36,$B$38,$B$39)*100)</f>
        <v>28.051361867704276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2966</v>
      </c>
      <c r="C44" s="34" t="s">
        <v>111</v>
      </c>
      <c r="D44" s="174"/>
    </row>
    <row r="45" spans="1:7">
      <c r="A45" s="171" t="s">
        <v>72</v>
      </c>
      <c r="B45" s="33" t="str">
        <f t="shared" si="0"/>
        <v>-</v>
      </c>
      <c r="C45" s="34" t="s">
        <v>111</v>
      </c>
      <c r="D45" s="174"/>
    </row>
    <row r="46" spans="1:7">
      <c r="A46" s="171" t="s">
        <v>73</v>
      </c>
      <c r="B46" s="33">
        <f t="shared" si="0"/>
        <v>519.26417910447765</v>
      </c>
      <c r="C46" s="34" t="s">
        <v>111</v>
      </c>
      <c r="D46" s="174"/>
    </row>
    <row r="47" spans="1:7">
      <c r="A47" s="171" t="s">
        <v>74</v>
      </c>
      <c r="B47" s="33">
        <f t="shared" si="0"/>
        <v>987.01405472636816</v>
      </c>
      <c r="C47" s="34" t="s">
        <v>111</v>
      </c>
      <c r="D47" s="174"/>
    </row>
    <row r="48" spans="1:7">
      <c r="A48" s="171" t="s">
        <v>75</v>
      </c>
      <c r="B48" s="33">
        <f t="shared" si="0"/>
        <v>150.42176616915424</v>
      </c>
      <c r="C48" s="33">
        <f>B48*10</f>
        <v>1504.2176616915424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1802.3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14806.799827329658</v>
      </c>
      <c r="C5" s="17">
        <f>IF(ISERROR('Eigen informatie GS &amp; warmtenet'!B58),0,'Eigen informatie GS &amp; warmtenet'!B58)</f>
        <v>0</v>
      </c>
      <c r="D5" s="30">
        <f>SUM(D6:D12)</f>
        <v>14616.390161055202</v>
      </c>
      <c r="E5" s="17">
        <f>SUM(E6:E12)</f>
        <v>172.75076522714608</v>
      </c>
      <c r="F5" s="17">
        <f>SUM(F6:F12)</f>
        <v>2658.9187769111631</v>
      </c>
      <c r="G5" s="18"/>
      <c r="H5" s="17"/>
      <c r="I5" s="17"/>
      <c r="J5" s="17">
        <f>SUM(J6:J12)</f>
        <v>5.9338356549098623E-2</v>
      </c>
      <c r="K5" s="17"/>
      <c r="L5" s="17"/>
      <c r="M5" s="17"/>
      <c r="N5" s="17">
        <f>SUM(N6:N12)</f>
        <v>2346.6402011447708</v>
      </c>
      <c r="O5" s="17">
        <f>B38*B39*B40</f>
        <v>1.5633333333333335</v>
      </c>
      <c r="P5" s="17">
        <f>B46*B47*B48/1000-B46*B47*B48/1000/B49</f>
        <v>19.066666666666666</v>
      </c>
      <c r="R5" s="32"/>
    </row>
    <row r="6" spans="1:18">
      <c r="A6" s="32" t="s">
        <v>54</v>
      </c>
      <c r="B6" s="37">
        <f>B26</f>
        <v>1902.28514193759</v>
      </c>
      <c r="C6" s="33"/>
      <c r="D6" s="37">
        <f>IF(ISERROR(TER_kantoor_gas_kWh/1000),0,TER_kantoor_gas_kWh/1000)*0.902</f>
        <v>1917.1059181403616</v>
      </c>
      <c r="E6" s="33">
        <f>$C$26*'E Balans VL '!I12/100/3.6*1000000</f>
        <v>1.1922890579538589E-2</v>
      </c>
      <c r="F6" s="33">
        <f>$C$26*('E Balans VL '!L12+'E Balans VL '!N12)/100/3.6*1000000</f>
        <v>285.86030191676969</v>
      </c>
      <c r="G6" s="34"/>
      <c r="H6" s="33"/>
      <c r="I6" s="33"/>
      <c r="J6" s="33">
        <f>$C$26*('E Balans VL '!D12+'E Balans VL '!E12)/100/3.6*1000000</f>
        <v>0</v>
      </c>
      <c r="K6" s="33"/>
      <c r="L6" s="33"/>
      <c r="M6" s="33"/>
      <c r="N6" s="33">
        <f>$C$26*'E Balans VL '!Y12/100/3.6*1000000</f>
        <v>1.8192536935382493</v>
      </c>
      <c r="O6" s="33"/>
      <c r="P6" s="33"/>
      <c r="R6" s="32"/>
    </row>
    <row r="7" spans="1:18">
      <c r="A7" s="32" t="s">
        <v>53</v>
      </c>
      <c r="B7" s="37">
        <f t="shared" ref="B7:B12" si="0">B27</f>
        <v>802.182533572034</v>
      </c>
      <c r="C7" s="33"/>
      <c r="D7" s="37">
        <f>IF(ISERROR(TER_horeca_gas_kWh/1000),0,TER_horeca_gas_kWh/1000)*0.902</f>
        <v>1169.3585557682106</v>
      </c>
      <c r="E7" s="33">
        <f>$C$27*'E Balans VL '!I9/100/3.6*1000000</f>
        <v>11.48712026264888</v>
      </c>
      <c r="F7" s="33">
        <f>$C$27*('E Balans VL '!L9+'E Balans VL '!N9)/100/3.6*1000000</f>
        <v>101.58276574945546</v>
      </c>
      <c r="G7" s="34"/>
      <c r="H7" s="33"/>
      <c r="I7" s="33"/>
      <c r="J7" s="33">
        <f>$C$27*('E Balans VL '!D9+'E Balans VL '!E9)/100/3.6*1000000</f>
        <v>0</v>
      </c>
      <c r="K7" s="33"/>
      <c r="L7" s="33"/>
      <c r="M7" s="33"/>
      <c r="N7" s="33">
        <f>$C$27*'E Balans VL '!Y9/100/3.6*1000000</f>
        <v>0.23060979179530697</v>
      </c>
      <c r="O7" s="33"/>
      <c r="P7" s="33"/>
      <c r="R7" s="32"/>
    </row>
    <row r="8" spans="1:18">
      <c r="A8" s="6" t="s">
        <v>52</v>
      </c>
      <c r="B8" s="37">
        <f t="shared" si="0"/>
        <v>1377.86648468873</v>
      </c>
      <c r="C8" s="33"/>
      <c r="D8" s="37">
        <f>IF(ISERROR(TER_handel_gas_kWh/1000),0,TER_handel_gas_kWh/1000)*0.902</f>
        <v>578.94655021489325</v>
      </c>
      <c r="E8" s="33">
        <f>$C$28*'E Balans VL '!I13/100/3.6*1000000</f>
        <v>49.975047488777612</v>
      </c>
      <c r="F8" s="33">
        <f>$C$28*('E Balans VL '!L13+'E Balans VL '!N13)/100/3.6*1000000</f>
        <v>265.39103673623373</v>
      </c>
      <c r="G8" s="34"/>
      <c r="H8" s="33"/>
      <c r="I8" s="33"/>
      <c r="J8" s="33">
        <f>$C$28*('E Balans VL '!D13+'E Balans VL '!E13)/100/3.6*1000000</f>
        <v>0</v>
      </c>
      <c r="K8" s="33"/>
      <c r="L8" s="33"/>
      <c r="M8" s="33"/>
      <c r="N8" s="33">
        <f>$C$28*'E Balans VL '!Y13/100/3.6*1000000</f>
        <v>1.9086621142327727</v>
      </c>
      <c r="O8" s="33"/>
      <c r="P8" s="33"/>
      <c r="R8" s="32"/>
    </row>
    <row r="9" spans="1:18">
      <c r="A9" s="32" t="s">
        <v>51</v>
      </c>
      <c r="B9" s="37">
        <f t="shared" si="0"/>
        <v>182.95870987504401</v>
      </c>
      <c r="C9" s="33"/>
      <c r="D9" s="37">
        <f>IF(ISERROR(TER_gezond_gas_kWh/1000),0,TER_gezond_gas_kWh/1000)*0.902</f>
        <v>208.25748579401738</v>
      </c>
      <c r="E9" s="33">
        <f>$C$29*'E Balans VL '!I10/100/3.6*1000000</f>
        <v>1.1455021629094382E-2</v>
      </c>
      <c r="F9" s="33">
        <f>$C$29*('E Balans VL '!L10+'E Balans VL '!N10)/100/3.6*1000000</f>
        <v>27.179073408158125</v>
      </c>
      <c r="G9" s="34"/>
      <c r="H9" s="33"/>
      <c r="I9" s="33"/>
      <c r="J9" s="33">
        <f>$C$29*('E Balans VL '!D10+'E Balans VL '!E10)/100/3.6*1000000</f>
        <v>0</v>
      </c>
      <c r="K9" s="33"/>
      <c r="L9" s="33"/>
      <c r="M9" s="33"/>
      <c r="N9" s="33">
        <f>$C$29*'E Balans VL '!Y10/100/3.6*1000000</f>
        <v>2.8300229783536159</v>
      </c>
      <c r="O9" s="33"/>
      <c r="P9" s="33"/>
      <c r="R9" s="32"/>
    </row>
    <row r="10" spans="1:18">
      <c r="A10" s="32" t="s">
        <v>50</v>
      </c>
      <c r="B10" s="37">
        <f t="shared" si="0"/>
        <v>1757.6616725127299</v>
      </c>
      <c r="C10" s="33"/>
      <c r="D10" s="37">
        <f>IF(ISERROR(TER_ander_gas_kWh/1000),0,TER_ander_gas_kWh/1000)*0.902</f>
        <v>1569.5397027913907</v>
      </c>
      <c r="E10" s="33">
        <f>$C$30*'E Balans VL '!I14/100/3.6*1000000</f>
        <v>2.0950699054197224</v>
      </c>
      <c r="F10" s="33">
        <f>$C$30*('E Balans VL '!L14+'E Balans VL '!N14)/100/3.6*1000000</f>
        <v>459.88243302996818</v>
      </c>
      <c r="G10" s="34"/>
      <c r="H10" s="33"/>
      <c r="I10" s="33"/>
      <c r="J10" s="33">
        <f>$C$30*('E Balans VL '!D14+'E Balans VL '!E14)/100/3.6*1000000</f>
        <v>3.8151945066737199E-2</v>
      </c>
      <c r="K10" s="33"/>
      <c r="L10" s="33"/>
      <c r="M10" s="33"/>
      <c r="N10" s="33">
        <f>$C$30*'E Balans VL '!Y14/100/3.6*1000000</f>
        <v>1492.563282922084</v>
      </c>
      <c r="O10" s="33"/>
      <c r="P10" s="33"/>
      <c r="R10" s="32"/>
    </row>
    <row r="11" spans="1:18">
      <c r="A11" s="32" t="s">
        <v>55</v>
      </c>
      <c r="B11" s="37">
        <f t="shared" si="0"/>
        <v>34.644094164578497</v>
      </c>
      <c r="C11" s="33"/>
      <c r="D11" s="37">
        <f>IF(ISERROR(TER_onderwijs_gas_kWh/1000),0,TER_onderwijs_gas_kWh/1000)*0.902</f>
        <v>48.177123937308167</v>
      </c>
      <c r="E11" s="33">
        <f>$C$31*'E Balans VL '!I11/100/3.6*1000000</f>
        <v>0.52272358132386887</v>
      </c>
      <c r="F11" s="33">
        <f>$C$31*('E Balans VL '!L11+'E Balans VL '!N11)/100/3.6*1000000</f>
        <v>6.0701987535035604</v>
      </c>
      <c r="G11" s="34"/>
      <c r="H11" s="33"/>
      <c r="I11" s="33"/>
      <c r="J11" s="33">
        <f>$C$31*('E Balans VL '!D11+'E Balans VL '!E11)/100/3.6*1000000</f>
        <v>0</v>
      </c>
      <c r="K11" s="33"/>
      <c r="L11" s="33"/>
      <c r="M11" s="33"/>
      <c r="N11" s="33">
        <f>$C$31*'E Balans VL '!Y11/100/3.6*1000000</f>
        <v>9.7491114723460212E-2</v>
      </c>
      <c r="O11" s="33"/>
      <c r="P11" s="33"/>
      <c r="R11" s="32"/>
    </row>
    <row r="12" spans="1:18">
      <c r="A12" s="32" t="s">
        <v>260</v>
      </c>
      <c r="B12" s="37">
        <f t="shared" si="0"/>
        <v>8749.2011905789514</v>
      </c>
      <c r="C12" s="33"/>
      <c r="D12" s="37">
        <f>IF(ISERROR(TER_rest_gas_kWh/1000),0,TER_rest_gas_kWh/1000)*0.902</f>
        <v>9125.0048244090212</v>
      </c>
      <c r="E12" s="33">
        <f>$C$32*'E Balans VL '!I8/100/3.6*1000000</f>
        <v>108.64742607676735</v>
      </c>
      <c r="F12" s="33">
        <f>$C$32*('E Balans VL '!L8+'E Balans VL '!N8)/100/3.6*1000000</f>
        <v>1512.9529673170746</v>
      </c>
      <c r="G12" s="34"/>
      <c r="H12" s="33"/>
      <c r="I12" s="33"/>
      <c r="J12" s="33">
        <f>$C$32*('E Balans VL '!D8+'E Balans VL '!E8)/100/3.6*1000000</f>
        <v>2.1186411482361427E-2</v>
      </c>
      <c r="K12" s="33"/>
      <c r="L12" s="33"/>
      <c r="M12" s="33"/>
      <c r="N12" s="33">
        <f>$C$32*'E Balans VL '!Y8/100/3.6*1000000</f>
        <v>847.19087853004339</v>
      </c>
      <c r="O12" s="33"/>
      <c r="P12" s="33"/>
      <c r="R12" s="32"/>
    </row>
    <row r="13" spans="1:18">
      <c r="A13" s="16" t="s">
        <v>488</v>
      </c>
      <c r="B13" s="247">
        <f ca="1">'lokale energieproductie'!N90+'lokale energieproductie'!N59</f>
        <v>177</v>
      </c>
      <c r="C13" s="247">
        <f ca="1">'lokale energieproductie'!O90+'lokale energieproductie'!O59</f>
        <v>239.19642857142858</v>
      </c>
      <c r="D13" s="310">
        <f ca="1">('lokale energieproductie'!P59+'lokale energieproductie'!P90)*(-1)</f>
        <v>-377.14285714285717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-112.5</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14983.799827329658</v>
      </c>
      <c r="C16" s="21">
        <f t="shared" ca="1" si="1"/>
        <v>239.19642857142858</v>
      </c>
      <c r="D16" s="21">
        <f t="shared" ca="1" si="1"/>
        <v>14239.247303912345</v>
      </c>
      <c r="E16" s="21">
        <f t="shared" si="1"/>
        <v>172.75076522714608</v>
      </c>
      <c r="F16" s="21">
        <f t="shared" ca="1" si="1"/>
        <v>2658.9187769111631</v>
      </c>
      <c r="G16" s="21">
        <f t="shared" si="1"/>
        <v>0</v>
      </c>
      <c r="H16" s="21">
        <f t="shared" si="1"/>
        <v>0</v>
      </c>
      <c r="I16" s="21">
        <f t="shared" si="1"/>
        <v>0</v>
      </c>
      <c r="J16" s="21">
        <f t="shared" si="1"/>
        <v>5.9338356549098623E-2</v>
      </c>
      <c r="K16" s="21">
        <f t="shared" si="1"/>
        <v>0</v>
      </c>
      <c r="L16" s="21">
        <f t="shared" ca="1" si="1"/>
        <v>0</v>
      </c>
      <c r="M16" s="21">
        <f t="shared" si="1"/>
        <v>0</v>
      </c>
      <c r="N16" s="21">
        <f t="shared" ca="1" si="1"/>
        <v>2346.6402011447708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0.20892501811154982</v>
      </c>
      <c r="C18" s="25">
        <f ca="1">'EF ele_warmte'!B22</f>
        <v>0.18304543699317805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3130.4906503046859</v>
      </c>
      <c r="C20" s="23">
        <f t="shared" ref="C20:P20" ca="1" si="2">C16*C18</f>
        <v>43.783814795064643</v>
      </c>
      <c r="D20" s="23">
        <f t="shared" ca="1" si="2"/>
        <v>2876.3279553902939</v>
      </c>
      <c r="E20" s="23">
        <f t="shared" si="2"/>
        <v>39.214423706562158</v>
      </c>
      <c r="F20" s="23">
        <f t="shared" ca="1" si="2"/>
        <v>709.93131343528057</v>
      </c>
      <c r="G20" s="23">
        <f t="shared" si="2"/>
        <v>0</v>
      </c>
      <c r="H20" s="23">
        <f t="shared" si="2"/>
        <v>0</v>
      </c>
      <c r="I20" s="23">
        <f t="shared" si="2"/>
        <v>0</v>
      </c>
      <c r="J20" s="23">
        <f t="shared" si="2"/>
        <v>2.100577821838091E-2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1902.28514193759</v>
      </c>
      <c r="C26" s="39">
        <f>IF(ISERROR(B26*3.6/1000000/'E Balans VL '!Z12*100),0,B26*3.6/1000000/'E Balans VL '!Z12*100)</f>
        <v>4.0211294437483135E-2</v>
      </c>
      <c r="D26" s="237" t="s">
        <v>754</v>
      </c>
      <c r="F26" s="6"/>
    </row>
    <row r="27" spans="1:18">
      <c r="A27" s="231" t="s">
        <v>53</v>
      </c>
      <c r="B27" s="33">
        <f>IF(ISERROR(TER_horeca_ele_kWh/1000),0,TER_horeca_ele_kWh/1000)</f>
        <v>802.182533572034</v>
      </c>
      <c r="C27" s="39">
        <f>IF(ISERROR(B27*3.6/1000000/'E Balans VL '!Z9*100),0,B27*3.6/1000000/'E Balans VL '!Z9*100)</f>
        <v>6.3235750132789259E-2</v>
      </c>
      <c r="D27" s="237" t="s">
        <v>754</v>
      </c>
      <c r="F27" s="6"/>
    </row>
    <row r="28" spans="1:18">
      <c r="A28" s="171" t="s">
        <v>52</v>
      </c>
      <c r="B28" s="33">
        <f>IF(ISERROR(TER_handel_ele_kWh/1000),0,TER_handel_ele_kWh/1000)</f>
        <v>1377.86648468873</v>
      </c>
      <c r="C28" s="39">
        <f>IF(ISERROR(B28*3.6/1000000/'E Balans VL '!Z13*100),0,B28*3.6/1000000/'E Balans VL '!Z13*100)</f>
        <v>3.9991252590104331E-2</v>
      </c>
      <c r="D28" s="237" t="s">
        <v>754</v>
      </c>
      <c r="F28" s="6"/>
    </row>
    <row r="29" spans="1:18">
      <c r="A29" s="231" t="s">
        <v>51</v>
      </c>
      <c r="B29" s="33">
        <f>IF(ISERROR(TER_gezond_ele_kWh/1000),0,TER_gezond_ele_kWh/1000)</f>
        <v>182.95870987504401</v>
      </c>
      <c r="C29" s="39">
        <f>IF(ISERROR(B29*3.6/1000000/'E Balans VL '!Z10*100),0,B29*3.6/1000000/'E Balans VL '!Z10*100)</f>
        <v>1.9268556411159168E-2</v>
      </c>
      <c r="D29" s="237" t="s">
        <v>754</v>
      </c>
      <c r="F29" s="6"/>
    </row>
    <row r="30" spans="1:18">
      <c r="A30" s="231" t="s">
        <v>50</v>
      </c>
      <c r="B30" s="33">
        <f>IF(ISERROR(TER_ander_ele_kWh/1000),0,TER_ander_ele_kWh/1000)</f>
        <v>1757.6616725127299</v>
      </c>
      <c r="C30" s="39">
        <f>IF(ISERROR(B30*3.6/1000000/'E Balans VL '!Z14*100),0,B30*3.6/1000000/'E Balans VL '!Z14*100)</f>
        <v>0.12964550672675521</v>
      </c>
      <c r="D30" s="237" t="s">
        <v>754</v>
      </c>
      <c r="F30" s="6"/>
    </row>
    <row r="31" spans="1:18">
      <c r="A31" s="231" t="s">
        <v>55</v>
      </c>
      <c r="B31" s="33">
        <f>IF(ISERROR(TER_onderwijs_ele_kWh/1000),0,TER_onderwijs_ele_kWh/1000)</f>
        <v>34.644094164578497</v>
      </c>
      <c r="C31" s="39">
        <f>IF(ISERROR(B31*3.6/1000000/'E Balans VL '!Z11*100),0,B31*3.6/1000000/'E Balans VL '!Z11*100)</f>
        <v>8.6037514060070142E-3</v>
      </c>
      <c r="D31" s="237" t="s">
        <v>754</v>
      </c>
    </row>
    <row r="32" spans="1:18">
      <c r="A32" s="231" t="s">
        <v>260</v>
      </c>
      <c r="B32" s="33">
        <f>IF(ISERROR(TER_rest_ele_kWh/1000),0,TER_rest_ele_kWh/1000)</f>
        <v>8749.2011905789514</v>
      </c>
      <c r="C32" s="39">
        <f>IF(ISERROR(B32*3.6/1000000/'E Balans VL '!Z8*100),0,B32*3.6/1000000/'E Balans VL '!Z8*100)</f>
        <v>7.199431241441541E-2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45816.433057946255</v>
      </c>
      <c r="C5" s="17">
        <f>IF(ISERROR('Eigen informatie GS &amp; warmtenet'!B59),0,'Eigen informatie GS &amp; warmtenet'!B59)</f>
        <v>0</v>
      </c>
      <c r="D5" s="30">
        <f>SUM(D6:D15)</f>
        <v>37805.315810252869</v>
      </c>
      <c r="E5" s="17">
        <f>SUM(E6:E15)</f>
        <v>2906.0896691857711</v>
      </c>
      <c r="F5" s="17">
        <f>SUM(F6:F15)</f>
        <v>10035.548438927539</v>
      </c>
      <c r="G5" s="18"/>
      <c r="H5" s="17"/>
      <c r="I5" s="17"/>
      <c r="J5" s="17">
        <f>SUM(J6:J15)</f>
        <v>158.06877000750001</v>
      </c>
      <c r="K5" s="17"/>
      <c r="L5" s="17"/>
      <c r="M5" s="17"/>
      <c r="N5" s="17">
        <f>SUM(N6:N15)</f>
        <v>10499.110005856044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41.134800005450501</v>
      </c>
      <c r="C8" s="33"/>
      <c r="D8" s="37">
        <f>IF( ISERROR(IND_metaal_Gas_kWH/1000),0,IND_metaal_Gas_kWH/1000)*0.902</f>
        <v>0</v>
      </c>
      <c r="E8" s="33">
        <f>C30*'E Balans VL '!I18/100/3.6*1000000</f>
        <v>0.37819475768245431</v>
      </c>
      <c r="F8" s="33">
        <f>C30*'E Balans VL '!L18/100/3.6*1000000+C30*'E Balans VL '!N18/100/3.6*1000000</f>
        <v>3.8570747243903765</v>
      </c>
      <c r="G8" s="34"/>
      <c r="H8" s="33"/>
      <c r="I8" s="33"/>
      <c r="J8" s="40">
        <f>C30*'E Balans VL '!D18/100/3.6*1000000+C30*'E Balans VL '!E18/100/3.6*1000000</f>
        <v>0</v>
      </c>
      <c r="K8" s="33"/>
      <c r="L8" s="33"/>
      <c r="M8" s="33"/>
      <c r="N8" s="33">
        <f>C30*'E Balans VL '!Y18/100/3.6*1000000</f>
        <v>0.58685590019739042</v>
      </c>
      <c r="O8" s="33"/>
      <c r="P8" s="33"/>
      <c r="R8" s="32"/>
    </row>
    <row r="9" spans="1:18">
      <c r="A9" s="6" t="s">
        <v>33</v>
      </c>
      <c r="B9" s="37">
        <f t="shared" si="0"/>
        <v>1600.1501217650598</v>
      </c>
      <c r="C9" s="33"/>
      <c r="D9" s="37">
        <f>IF( ISERROR(IND_andere_gas_kWh/1000),0,IND_andere_gas_kWh/1000)*0.902</f>
        <v>308.24997947176809</v>
      </c>
      <c r="E9" s="33">
        <f>C31*'E Balans VL '!I19/100/3.6*1000000</f>
        <v>467.75503184052923</v>
      </c>
      <c r="F9" s="33">
        <f>C31*'E Balans VL '!L19/100/3.6*1000000+C31*'E Balans VL '!N19/100/3.6*1000000</f>
        <v>1285.8417430731988</v>
      </c>
      <c r="G9" s="34"/>
      <c r="H9" s="33"/>
      <c r="I9" s="33"/>
      <c r="J9" s="40">
        <f>C31*'E Balans VL '!D19/100/3.6*1000000+C31*'E Balans VL '!E19/100/3.6*1000000</f>
        <v>0</v>
      </c>
      <c r="K9" s="33"/>
      <c r="L9" s="33"/>
      <c r="M9" s="33"/>
      <c r="N9" s="33">
        <f>C31*'E Balans VL '!Y19/100/3.6*1000000</f>
        <v>528.71441680006819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22.602345406244801</v>
      </c>
      <c r="C13" s="33"/>
      <c r="D13" s="37">
        <f>IF( ISERROR(IND_papier_gas_kWh/1000),0,IND_papier_gas_kWh/1000)*0.902</f>
        <v>0</v>
      </c>
      <c r="E13" s="33">
        <f>C35*'E Balans VL '!I23/100/3.6*1000000</f>
        <v>3.2067559015194709E-2</v>
      </c>
      <c r="F13" s="33">
        <f>C35*'E Balans VL '!L23/100/3.6*1000000+C35*'E Balans VL '!N23/100/3.6*1000000</f>
        <v>0.55180824166486242</v>
      </c>
      <c r="G13" s="34"/>
      <c r="H13" s="33"/>
      <c r="I13" s="33"/>
      <c r="J13" s="40">
        <f>C35*'E Balans VL '!D23/100/3.6*1000000+C35*'E Balans VL '!E23/100/3.6*1000000</f>
        <v>3.495664920825588E-3</v>
      </c>
      <c r="K13" s="33"/>
      <c r="L13" s="33"/>
      <c r="M13" s="33"/>
      <c r="N13" s="33">
        <f>C35*'E Balans VL '!Y23/100/3.6*1000000</f>
        <v>65.699667753299352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44152.545790769502</v>
      </c>
      <c r="C15" s="33"/>
      <c r="D15" s="37">
        <f>IF( ISERROR(IND_rest_gas_kWh/1000),0,IND_rest_gas_kWh/1000)*0.902</f>
        <v>37497.065830781103</v>
      </c>
      <c r="E15" s="33">
        <f>C37*'E Balans VL '!I15/100/3.6*1000000</f>
        <v>2437.9243750285441</v>
      </c>
      <c r="F15" s="33">
        <f>C37*'E Balans VL '!L15/100/3.6*1000000+C37*'E Balans VL '!N15/100/3.6*1000000</f>
        <v>8745.2978128882842</v>
      </c>
      <c r="G15" s="34"/>
      <c r="H15" s="33"/>
      <c r="I15" s="33"/>
      <c r="J15" s="40">
        <f>C37*'E Balans VL '!D15/100/3.6*1000000+C37*'E Balans VL '!E15/100/3.6*1000000</f>
        <v>158.06527434257919</v>
      </c>
      <c r="K15" s="33"/>
      <c r="L15" s="33"/>
      <c r="M15" s="33"/>
      <c r="N15" s="33">
        <f>C37*'E Balans VL '!Y15/100/3.6*1000000</f>
        <v>9904.1090654024792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45816.433057946255</v>
      </c>
      <c r="C18" s="21">
        <f>C5+C16</f>
        <v>0</v>
      </c>
      <c r="D18" s="21">
        <f>MAX((D5+D16),0)</f>
        <v>37805.315810252869</v>
      </c>
      <c r="E18" s="21">
        <f>MAX((E5+E16),0)</f>
        <v>2906.0896691857711</v>
      </c>
      <c r="F18" s="21">
        <f>MAX((F5+F16),0)</f>
        <v>10035.548438927539</v>
      </c>
      <c r="G18" s="21"/>
      <c r="H18" s="21"/>
      <c r="I18" s="21"/>
      <c r="J18" s="21">
        <f>MAX((J5+J16),0)</f>
        <v>158.06877000750001</v>
      </c>
      <c r="K18" s="21"/>
      <c r="L18" s="21">
        <f>MAX((L5+L16),0)</f>
        <v>0</v>
      </c>
      <c r="M18" s="21"/>
      <c r="N18" s="21">
        <f>MAX((N5+N16),0)</f>
        <v>10499.110005856044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0.20892501811154982</v>
      </c>
      <c r="C20" s="25">
        <f ca="1">'EF ele_warmte'!B22</f>
        <v>0.18304543699317805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9572.1991064380309</v>
      </c>
      <c r="C22" s="23">
        <f ca="1">C18*C20</f>
        <v>0</v>
      </c>
      <c r="D22" s="23">
        <f>D18*D20</f>
        <v>7636.6737936710797</v>
      </c>
      <c r="E22" s="23">
        <f>E18*E20</f>
        <v>659.68235490517009</v>
      </c>
      <c r="F22" s="23">
        <f>F18*F20</f>
        <v>2679.4914331936529</v>
      </c>
      <c r="G22" s="23"/>
      <c r="H22" s="23"/>
      <c r="I22" s="23"/>
      <c r="J22" s="23">
        <f>J18*J20</f>
        <v>55.956344582654999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41.134800005450501</v>
      </c>
      <c r="C30" s="39">
        <f>IF(ISERROR(B30*3.6/1000000/'E Balans VL '!Z18*100),0,B30*3.6/1000000/'E Balans VL '!Z18*100)</f>
        <v>2.3312145928347698E-3</v>
      </c>
      <c r="D30" s="237" t="s">
        <v>754</v>
      </c>
    </row>
    <row r="31" spans="1:18">
      <c r="A31" s="6" t="s">
        <v>33</v>
      </c>
      <c r="B31" s="37">
        <f>IF( ISERROR(IND_ander_ele_kWh/1000),0,IND_ander_ele_kWh/1000)</f>
        <v>1600.1501217650598</v>
      </c>
      <c r="C31" s="39">
        <f>IF(ISERROR(B31*3.6/1000000/'E Balans VL '!Z19*100),0,B31*3.6/1000000/'E Balans VL '!Z19*100)</f>
        <v>7.2576146614121984E-2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22.602345406244801</v>
      </c>
      <c r="C35" s="39">
        <f>IF(ISERROR(B35*3.6/1000000/'E Balans VL '!Z22*100),0,B35*3.6/1000000/'E Balans VL '!Z22*100)</f>
        <v>4.0654567535283216E-3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44152.545790769502</v>
      </c>
      <c r="C37" s="39">
        <f>IF(ISERROR(B37*3.6/1000000/'E Balans VL '!Z15*100),0,B37*3.6/1000000/'E Balans VL '!Z15*100)</f>
        <v>0.34996314987508875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624.63522682895996</v>
      </c>
      <c r="C5" s="17">
        <f>'Eigen informatie GS &amp; warmtenet'!B60</f>
        <v>0</v>
      </c>
      <c r="D5" s="30">
        <f>IF(ISERROR(SUM(LB_lb_gas_kWh,LB_rest_gas_kWh,onbekend_gas_kWh)/1000),0,SUM(LB_lb_gas_kWh,LB_rest_gas_kWh,onbekend_gas_kWh)/1000)*0.902</f>
        <v>1548.6916713424207</v>
      </c>
      <c r="E5" s="17">
        <f>B17*'E Balans VL '!I25/3.6*1000000/100</f>
        <v>18.359937172693492</v>
      </c>
      <c r="F5" s="17">
        <f>B17*('E Balans VL '!L25/3.6*1000000+'E Balans VL '!N25/3.6*1000000)/100</f>
        <v>2602.1966014534332</v>
      </c>
      <c r="G5" s="18"/>
      <c r="H5" s="17"/>
      <c r="I5" s="17"/>
      <c r="J5" s="17">
        <f>('E Balans VL '!D25+'E Balans VL '!E25)/3.6*1000000*landbouw!B17/100</f>
        <v>90.496230172469382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624.63522682895996</v>
      </c>
      <c r="C8" s="21">
        <f>C5+C6</f>
        <v>0</v>
      </c>
      <c r="D8" s="21">
        <f>MAX((D5+D6),0)</f>
        <v>1548.6916713424207</v>
      </c>
      <c r="E8" s="21">
        <f>MAX((E5+E6),0)</f>
        <v>18.359937172693492</v>
      </c>
      <c r="F8" s="21">
        <f>MAX((F5+F6),0)</f>
        <v>2602.1966014534332</v>
      </c>
      <c r="G8" s="21"/>
      <c r="H8" s="21"/>
      <c r="I8" s="21"/>
      <c r="J8" s="21">
        <f>MAX((J5+J6),0)</f>
        <v>90.496230172469382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0.20892501811154982</v>
      </c>
      <c r="C10" s="31">
        <f ca="1">'EF ele_warmte'!B22</f>
        <v>0.18304543699317805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130.50192607835248</v>
      </c>
      <c r="C12" s="23">
        <f ca="1">C8*C10</f>
        <v>0</v>
      </c>
      <c r="D12" s="23">
        <f>D8*D10</f>
        <v>312.835717611169</v>
      </c>
      <c r="E12" s="23">
        <f>E8*E10</f>
        <v>4.1677057382014224</v>
      </c>
      <c r="F12" s="23">
        <f>F8*F10</f>
        <v>694.78649258806672</v>
      </c>
      <c r="G12" s="23"/>
      <c r="H12" s="23"/>
      <c r="I12" s="23"/>
      <c r="J12" s="23">
        <f>J8*J10</f>
        <v>32.03566548105416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8.8637698420287833E-2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13.712743579570649</v>
      </c>
      <c r="C26" s="247">
        <f>B26*'GWP N2O_CH4'!B5</f>
        <v>287.96761517098361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0.86507113683392256</v>
      </c>
      <c r="C27" s="247">
        <f>B27*'GWP N2O_CH4'!B5</f>
        <v>18.166493873512373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0.18363144276638507</v>
      </c>
      <c r="C28" s="247">
        <f>B28*'GWP N2O_CH4'!B4</f>
        <v>56.925747257579374</v>
      </c>
      <c r="D28" s="50"/>
    </row>
    <row r="29" spans="1:4">
      <c r="A29" s="41" t="s">
        <v>277</v>
      </c>
      <c r="B29" s="247">
        <f>B34*'ha_N2O bodem landbouw'!B4</f>
        <v>6.1100103455715784</v>
      </c>
      <c r="C29" s="247">
        <f>B29*'GWP N2O_CH4'!B4</f>
        <v>1894.1032071271893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1.3942833048270619E-3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2.8424989558369432E-4</v>
      </c>
      <c r="C5" s="463" t="s">
        <v>211</v>
      </c>
      <c r="D5" s="448">
        <f>SUM(D6:D11)</f>
        <v>9.4919960107877341E-4</v>
      </c>
      <c r="E5" s="448">
        <f>SUM(E6:E11)</f>
        <v>1.4154800290467908E-3</v>
      </c>
      <c r="F5" s="461" t="s">
        <v>211</v>
      </c>
      <c r="G5" s="448">
        <f>SUM(G6:G11)</f>
        <v>0.48267533097665694</v>
      </c>
      <c r="H5" s="448">
        <f>SUM(H6:H11)</f>
        <v>0.10934553890356746</v>
      </c>
      <c r="I5" s="463" t="s">
        <v>211</v>
      </c>
      <c r="J5" s="463" t="s">
        <v>211</v>
      </c>
      <c r="K5" s="463" t="s">
        <v>211</v>
      </c>
      <c r="L5" s="463" t="s">
        <v>211</v>
      </c>
      <c r="M5" s="448">
        <f>SUM(M6:M11)</f>
        <v>3.1445883048994816E-2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1.2040952369031893E-4</v>
      </c>
      <c r="C6" s="449"/>
      <c r="D6" s="962">
        <f>vkm_2011_GW_PW*SUMIFS(TableVerdeelsleutelVkm[CNG],TableVerdeelsleutelVkm[Voertuigtype],"Lichte voertuigen")*SUMIFS(TableECFTransport[EnergieConsumptieFactor (PJ per km)],TableECFTransport[Index],CONCATENATE($A6,"_CNG_CNG"))</f>
        <v>3.6115946229056141E-4</v>
      </c>
      <c r="E6" s="962">
        <f>vkm_2011_GW_PW*SUMIFS(TableVerdeelsleutelVkm[LPG],TableVerdeelsleutelVkm[Voertuigtype],"Lichte voertuigen")*SUMIFS(TableECFTransport[EnergieConsumptieFactor (PJ per km)],TableECFTransport[Index],CONCATENATE($A6,"_LPG_LPG"))</f>
        <v>4.9339570348900011E-4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0.12756951131166908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4.1070548386573265E-2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8.6721564240494955E-3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5.0965568604995896E-2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1.5530552818316242E-5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2.9782585980743926E-3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3.3699318087989349E-5</v>
      </c>
      <c r="C8" s="449"/>
      <c r="D8" s="451">
        <f>vkm_2011_NGW_PW*SUMIFS(TableVerdeelsleutelVkm[CNG],TableVerdeelsleutelVkm[Voertuigtype],"Lichte voertuigen")*SUMIFS(TableECFTransport[EnergieConsumptieFactor (PJ per km)],TableECFTransport[Index],CONCATENATE($A8,"_CNG_CNG"))</f>
        <v>1.7971890554792591E-4</v>
      </c>
      <c r="E8" s="451">
        <f>vkm_2011_NGW_PW*SUMIFS(TableVerdeelsleutelVkm[LPG],TableVerdeelsleutelVkm[Voertuigtype],"Lichte voertuigen")*SUMIFS(TableECFTransport[EnergieConsumptieFactor (PJ per km)],TableECFTransport[Index],CONCATENATE($A8,"_LPG_LPG"))</f>
        <v>2.273810844460822E-4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5.4786362495870704E-2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1.986065923852787E-2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3.7903073949011475E-3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2.9782588172360112E-3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8.5438365053200542E-7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1.7403797839430491E-4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1.3014105380538602E-4</v>
      </c>
      <c r="C10" s="449"/>
      <c r="D10" s="451">
        <f>vkm_2011_SW_PW*SUMIFS(TableVerdeelsleutelVkm[CNG],TableVerdeelsleutelVkm[Voertuigtype],"Lichte voertuigen")*SUMIFS(TableECFTransport[EnergieConsumptieFactor (PJ per km)],TableECFTransport[Index],CONCATENATE($A10,"_CNG_CNG"))</f>
        <v>4.0832123324028604E-4</v>
      </c>
      <c r="E10" s="451">
        <f>vkm_2011_SW_PW*SUMIFS(TableVerdeelsleutelVkm[LPG],TableVerdeelsleutelVkm[Voertuigtype],"Lichte voertuigen")*SUMIFS(TableECFTransport[EnergieConsumptieFactor (PJ per km)],TableECFTransport[Index],CONCATENATE($A10,"_LPG_LPG"))</f>
        <v>6.9470324111170858E-4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0.16013067106370613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4.8369565629997224E-2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1.0791191349067747E-2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8.6244958683179093E-2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2.8380712000261266E-5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5.0399313045077256E-3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78.958304328803976</v>
      </c>
      <c r="C14" s="21"/>
      <c r="D14" s="21">
        <f t="shared" ref="D14:M14" si="0">((D5)*10^9/3600)+D12</f>
        <v>263.66655585521482</v>
      </c>
      <c r="E14" s="21">
        <f t="shared" si="0"/>
        <v>393.18889695744184</v>
      </c>
      <c r="F14" s="21"/>
      <c r="G14" s="21">
        <f t="shared" si="0"/>
        <v>134076.48082684915</v>
      </c>
      <c r="H14" s="21">
        <f t="shared" si="0"/>
        <v>30373.760806546517</v>
      </c>
      <c r="I14" s="21"/>
      <c r="J14" s="21"/>
      <c r="K14" s="21"/>
      <c r="L14" s="21"/>
      <c r="M14" s="21">
        <f t="shared" si="0"/>
        <v>8734.9675136096721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0.20892501811154982</v>
      </c>
      <c r="C16" s="56">
        <f ca="1">'EF ele_warmte'!B22</f>
        <v>0.18304543699317805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16.496365161952632</v>
      </c>
      <c r="C18" s="23"/>
      <c r="D18" s="23">
        <f t="shared" ref="D18:M18" si="1">D14*D16</f>
        <v>53.260644282753397</v>
      </c>
      <c r="E18" s="23">
        <f t="shared" si="1"/>
        <v>89.253879609339307</v>
      </c>
      <c r="F18" s="23"/>
      <c r="G18" s="23">
        <f t="shared" si="1"/>
        <v>35798.420380768723</v>
      </c>
      <c r="H18" s="23">
        <f t="shared" si="1"/>
        <v>7563.0664408300827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5.7947027385493958E-3</v>
      </c>
      <c r="H50" s="321">
        <f t="shared" si="2"/>
        <v>0</v>
      </c>
      <c r="I50" s="321">
        <f t="shared" si="2"/>
        <v>0</v>
      </c>
      <c r="J50" s="321">
        <f t="shared" si="2"/>
        <v>0</v>
      </c>
      <c r="K50" s="321">
        <f t="shared" si="2"/>
        <v>0</v>
      </c>
      <c r="L50" s="321">
        <f t="shared" si="2"/>
        <v>0</v>
      </c>
      <c r="M50" s="321">
        <f t="shared" si="2"/>
        <v>3.2911353439174046E-4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5.7947027385493958E-3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3.2911353439174046E-4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1609.6396495970544</v>
      </c>
      <c r="H54" s="21">
        <f t="shared" si="3"/>
        <v>0</v>
      </c>
      <c r="I54" s="21">
        <f t="shared" si="3"/>
        <v>0</v>
      </c>
      <c r="J54" s="21">
        <f t="shared" si="3"/>
        <v>0</v>
      </c>
      <c r="K54" s="21">
        <f t="shared" si="3"/>
        <v>0</v>
      </c>
      <c r="L54" s="21">
        <f t="shared" si="3"/>
        <v>0</v>
      </c>
      <c r="M54" s="21">
        <f t="shared" si="3"/>
        <v>91.420426219927904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0.20892501811154982</v>
      </c>
      <c r="C56" s="56">
        <f ca="1">'EF ele_warmte'!B22</f>
        <v>0.18304543699317805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429.77378644241355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193.49682045051193</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4808.0336055703601</v>
      </c>
      <c r="C6" s="1204"/>
      <c r="D6" s="1189"/>
      <c r="E6" s="1189"/>
      <c r="F6" s="1207"/>
      <c r="G6" s="1210"/>
      <c r="H6" s="1201"/>
      <c r="I6" s="1189"/>
      <c r="J6" s="1189"/>
      <c r="K6" s="1189"/>
      <c r="L6" s="1193"/>
      <c r="M6" s="575"/>
      <c r="N6" s="1167"/>
      <c r="O6" s="1168"/>
      <c r="Q6" s="573"/>
      <c r="R6" s="1155"/>
      <c r="S6" s="1155"/>
    </row>
    <row r="7" spans="1:19" s="563" customFormat="1">
      <c r="A7" s="576" t="s">
        <v>252</v>
      </c>
      <c r="B7" s="577">
        <f>N57</f>
        <v>177</v>
      </c>
      <c r="C7" s="578">
        <f>B100</f>
        <v>160.39129875144809</v>
      </c>
      <c r="D7" s="579"/>
      <c r="E7" s="579">
        <f>E100</f>
        <v>0</v>
      </c>
      <c r="F7" s="580"/>
      <c r="G7" s="581"/>
      <c r="H7" s="579">
        <f>I100</f>
        <v>0</v>
      </c>
      <c r="I7" s="579">
        <f>G100+F100</f>
        <v>47.843995366199003</v>
      </c>
      <c r="J7" s="579">
        <f>H100+D100+C100</f>
        <v>0</v>
      </c>
      <c r="K7" s="579"/>
      <c r="L7" s="582"/>
      <c r="M7" s="583">
        <f>C7*$C$11+D7*$D$11+E7*$E$11+F7*$F$11+G7*$G$11+H7*$H$11+I7*$I$11+J7*$J$11</f>
        <v>32.399042347792516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5178.5304260208723</v>
      </c>
      <c r="C9" s="594">
        <f t="shared" ref="C9:L9" si="0">SUM(C7:C8)</f>
        <v>160.39129875144809</v>
      </c>
      <c r="D9" s="594">
        <f t="shared" si="0"/>
        <v>0</v>
      </c>
      <c r="E9" s="594">
        <f t="shared" si="0"/>
        <v>0</v>
      </c>
      <c r="F9" s="594">
        <f t="shared" si="0"/>
        <v>0</v>
      </c>
      <c r="G9" s="594">
        <f t="shared" si="0"/>
        <v>0</v>
      </c>
      <c r="H9" s="594">
        <f t="shared" si="0"/>
        <v>0</v>
      </c>
      <c r="I9" s="594">
        <f t="shared" si="0"/>
        <v>47.843995366199003</v>
      </c>
      <c r="J9" s="594">
        <f t="shared" si="0"/>
        <v>0</v>
      </c>
      <c r="K9" s="594">
        <f t="shared" si="0"/>
        <v>0</v>
      </c>
      <c r="L9" s="594">
        <f t="shared" si="0"/>
        <v>0</v>
      </c>
      <c r="M9" s="595">
        <f>SUM(M4:M8)</f>
        <v>32.399042347792516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239.19642857142858</v>
      </c>
      <c r="C16" s="610">
        <f>B101</f>
        <v>216.75155839140911</v>
      </c>
      <c r="D16" s="611"/>
      <c r="E16" s="611">
        <f>E101</f>
        <v>0</v>
      </c>
      <c r="F16" s="612"/>
      <c r="G16" s="613"/>
      <c r="H16" s="610">
        <f>I101</f>
        <v>0</v>
      </c>
      <c r="I16" s="611">
        <f>G101+F101</f>
        <v>64.656004633801004</v>
      </c>
      <c r="J16" s="611">
        <f>H101+D101+C101</f>
        <v>0</v>
      </c>
      <c r="K16" s="611"/>
      <c r="L16" s="614"/>
      <c r="M16" s="615">
        <f>C16*$C$21+E16*$E$21+H16*$H$21+I16*$I$21+J16*$J$21+D16*$D$21+F16*$F$21+G16*$G$21+K16*$K$21+L16*$L$21</f>
        <v>43.783814795064643</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239.19642857142858</v>
      </c>
      <c r="C19" s="593">
        <f>SUM(C16:C18)</f>
        <v>216.75155839140911</v>
      </c>
      <c r="D19" s="593">
        <f t="shared" ref="D19:M19" si="1">SUM(D16:D18)</f>
        <v>0</v>
      </c>
      <c r="E19" s="593">
        <f t="shared" si="1"/>
        <v>0</v>
      </c>
      <c r="F19" s="593">
        <f t="shared" si="1"/>
        <v>0</v>
      </c>
      <c r="G19" s="593">
        <f t="shared" si="1"/>
        <v>0</v>
      </c>
      <c r="H19" s="593">
        <f t="shared" si="1"/>
        <v>0</v>
      </c>
      <c r="I19" s="593">
        <f t="shared" si="1"/>
        <v>64.656004633801004</v>
      </c>
      <c r="J19" s="593">
        <f t="shared" si="1"/>
        <v>0</v>
      </c>
      <c r="K19" s="593">
        <f t="shared" si="1"/>
        <v>0</v>
      </c>
      <c r="L19" s="593">
        <f t="shared" si="1"/>
        <v>0</v>
      </c>
      <c r="M19" s="620">
        <f t="shared" si="1"/>
        <v>43.783814795064643</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24094</v>
      </c>
      <c r="C27" s="851">
        <v>3118</v>
      </c>
      <c r="D27" s="672" t="s">
        <v>809</v>
      </c>
      <c r="E27" s="671" t="s">
        <v>810</v>
      </c>
      <c r="F27" s="671" t="s">
        <v>811</v>
      </c>
      <c r="G27" s="671" t="s">
        <v>812</v>
      </c>
      <c r="H27" s="671" t="s">
        <v>813</v>
      </c>
      <c r="I27" s="671" t="s">
        <v>810</v>
      </c>
      <c r="J27" s="850">
        <v>38718</v>
      </c>
      <c r="K27" s="850">
        <v>38991</v>
      </c>
      <c r="L27" s="671" t="s">
        <v>814</v>
      </c>
      <c r="M27" s="671">
        <v>10</v>
      </c>
      <c r="N27" s="671">
        <v>45</v>
      </c>
      <c r="O27" s="671">
        <v>50.625</v>
      </c>
      <c r="P27" s="671">
        <v>0</v>
      </c>
      <c r="Q27" s="671">
        <v>0</v>
      </c>
      <c r="R27" s="671">
        <v>0</v>
      </c>
      <c r="S27" s="671">
        <v>0</v>
      </c>
      <c r="T27" s="671">
        <v>112.5</v>
      </c>
      <c r="U27" s="671">
        <v>0</v>
      </c>
      <c r="V27" s="671">
        <v>0</v>
      </c>
      <c r="W27" s="671">
        <v>0</v>
      </c>
      <c r="X27" s="671">
        <v>1600</v>
      </c>
      <c r="Y27" s="671" t="s">
        <v>50</v>
      </c>
      <c r="Z27" s="673" t="s">
        <v>156</v>
      </c>
    </row>
    <row r="28" spans="1:26" s="625" customFormat="1" ht="38.25">
      <c r="A28" s="624"/>
      <c r="B28" s="851">
        <v>24094</v>
      </c>
      <c r="C28" s="851">
        <v>3110</v>
      </c>
      <c r="D28" s="672"/>
      <c r="E28" s="671"/>
      <c r="F28" s="671" t="s">
        <v>815</v>
      </c>
      <c r="G28" s="671" t="s">
        <v>812</v>
      </c>
      <c r="H28" s="671" t="s">
        <v>816</v>
      </c>
      <c r="I28" s="671" t="s">
        <v>817</v>
      </c>
      <c r="J28" s="850">
        <v>42028</v>
      </c>
      <c r="K28" s="850">
        <v>42019</v>
      </c>
      <c r="L28" s="671" t="s">
        <v>814</v>
      </c>
      <c r="M28" s="671">
        <v>32</v>
      </c>
      <c r="N28" s="671">
        <v>132</v>
      </c>
      <c r="O28" s="671">
        <v>188.57142857142858</v>
      </c>
      <c r="P28" s="671">
        <v>377.14285714285717</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42</v>
      </c>
      <c r="N57" s="629">
        <f>SUM(N27:N56)</f>
        <v>177</v>
      </c>
      <c r="O57" s="629">
        <f t="shared" ref="O57:W57" si="2">SUM(O27:O56)</f>
        <v>239.19642857142858</v>
      </c>
      <c r="P57" s="629">
        <f t="shared" si="2"/>
        <v>377.14285714285717</v>
      </c>
      <c r="Q57" s="629">
        <f t="shared" si="2"/>
        <v>0</v>
      </c>
      <c r="R57" s="629">
        <f t="shared" si="2"/>
        <v>0</v>
      </c>
      <c r="S57" s="629">
        <f t="shared" si="2"/>
        <v>0</v>
      </c>
      <c r="T57" s="629">
        <f t="shared" si="2"/>
        <v>112.5</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42</v>
      </c>
      <c r="N59" s="629">
        <f ca="1">SUMIF($Z$27:AB56,"tertiair",N27:N56)</f>
        <v>177</v>
      </c>
      <c r="O59" s="629">
        <f ca="1">SUMIF($Z$27:AC56,"tertiair",O27:O56)</f>
        <v>239.19642857142858</v>
      </c>
      <c r="P59" s="629">
        <f ca="1">SUMIF($Z$27:AD56,"tertiair",P27:P56)</f>
        <v>377.14285714285717</v>
      </c>
      <c r="Q59" s="629">
        <f ca="1">SUMIF($Z$27:AE56,"tertiair",Q27:Q56)</f>
        <v>0</v>
      </c>
      <c r="R59" s="629">
        <f ca="1">SUMIF($Z$27:AF56,"tertiair",R27:R56)</f>
        <v>0</v>
      </c>
      <c r="S59" s="629">
        <f ca="1">SUMIF($Z$27:AG56,"tertiair",S27:S56)</f>
        <v>0</v>
      </c>
      <c r="T59" s="629">
        <f ca="1">SUMIF($Z$27:AH56,"tertiair",T27:T56)</f>
        <v>112.5</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0.57472004118934228</v>
      </c>
      <c r="C97" s="654">
        <f>IF(ISERROR(N57/(O57+N57)),0,N57/(N57+O57))</f>
        <v>0.42527995881065778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160.39129875144809</v>
      </c>
      <c r="C100" s="663">
        <f t="shared" si="9"/>
        <v>0</v>
      </c>
      <c r="D100" s="663">
        <f t="shared" si="9"/>
        <v>0</v>
      </c>
      <c r="E100" s="663">
        <f t="shared" si="9"/>
        <v>0</v>
      </c>
      <c r="F100" s="663">
        <f t="shared" si="9"/>
        <v>47.843995366199003</v>
      </c>
      <c r="G100" s="663">
        <f t="shared" si="9"/>
        <v>0</v>
      </c>
      <c r="H100" s="663">
        <f t="shared" si="9"/>
        <v>0</v>
      </c>
      <c r="I100" s="664">
        <f t="shared" si="9"/>
        <v>0</v>
      </c>
      <c r="J100" s="621"/>
      <c r="K100" s="621"/>
      <c r="L100" s="659"/>
      <c r="M100" s="646"/>
      <c r="N100" s="646"/>
    </row>
    <row r="101" spans="1:14" ht="15.75" thickBot="1">
      <c r="A101" s="665" t="s">
        <v>286</v>
      </c>
      <c r="B101" s="666">
        <f>$B$97*P57</f>
        <v>216.75155839140911</v>
      </c>
      <c r="C101" s="666">
        <f t="shared" ref="C101:H101" si="10">$B$97*Q57</f>
        <v>0</v>
      </c>
      <c r="D101" s="666">
        <f t="shared" si="10"/>
        <v>0</v>
      </c>
      <c r="E101" s="666">
        <f t="shared" si="10"/>
        <v>0</v>
      </c>
      <c r="F101" s="666">
        <f t="shared" si="10"/>
        <v>64.656004633801004</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2018-09-06T12:47:17Z</dcterms:modified>
</cp:coreProperties>
</file>