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I20" i="15"/>
  <c r="J36"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N7" l="1"/>
  <c r="N24" s="1"/>
  <c r="P13" i="14"/>
  <c r="P15" s="1"/>
  <c r="P23" s="1"/>
  <c r="P55" s="1"/>
  <c r="O8" i="48"/>
  <c r="O25" s="1"/>
  <c r="P3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O14" i="48"/>
  <c r="O31"/>
  <c r="J5"/>
  <c r="J22" s="1"/>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O13" l="1"/>
  <c r="O15" s="1"/>
  <c r="F41"/>
  <c r="F53" s="1"/>
  <c r="Q5" i="48"/>
  <c r="F22" i="16"/>
  <c r="G39" i="14" s="1"/>
  <c r="G41" s="1"/>
  <c r="G53" s="1"/>
  <c r="G55" s="1"/>
  <c r="O69" s="1"/>
  <c r="B9" i="6" s="1"/>
  <c r="B12"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F55" i="14" l="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<sst xmlns="http://schemas.openxmlformats.org/spreadsheetml/2006/main" count="1923" uniqueCount="816">
  <si>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</si>
  <si>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</si>
  <si>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</si>
  <si>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</si>
  <si>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</si>
  <si>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</si>
  <si>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</si>
  <si>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</si>
  <si>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</si>
  <si>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</si>
  <si>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</si>
  <si>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</si>
  <si>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</si>
  <si>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</si>
  <si>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</si>
  <si>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</si>
  <si>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</si>
  <si>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</si>
  <si>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</si>
  <si>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</si>
  <si>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</si>
  <si>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</si>
  <si>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</si>
  <si>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</si>
  <si>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</si>
  <si>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</si>
  <si>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</si>
  <si>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</si>
  <si>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</si>
  <si>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</si>
  <si>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</si>
  <si>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</si>
  <si>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</si>
  <si>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</si>
  <si>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</si>
  <si>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</si>
  <si>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</si>
  <si>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</si>
  <si>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</si>
  <si>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</si>
  <si>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</si>
  <si>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</si>
  <si>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</si>
  <si>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</si>
  <si>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</si>
  <si>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</si>
  <si>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</si>
  <si>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</si>
  <si>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</si>
  <si>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</si>
  <si>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</si>
  <si>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</si>
  <si>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</si>
  <si>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</si>
  <si>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</si>
  <si>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</si>
  <si>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</si>
  <si>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</si>
  <si>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</si>
  <si>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</si>
  <si>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</si>
  <si>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</si>
  <si>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</si>
  <si>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</si>
  <si>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</si>
  <si>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</si>
  <si>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</si>
  <si>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</si>
  <si>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</si>
  <si>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</si>
  <si>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</si>
  <si>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</si>
  <si>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</si>
  <si>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</si>
  <si>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</si>
  <si>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</si>
  <si>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</si>
  <si>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</si>
  <si>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</si>
  <si>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</si>
  <si>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</si>
  <si>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</si>
  <si>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</si>
  <si>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</si>
  <si>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</si>
  <si>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</si>
  <si>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</si>
  <si>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</si>
  <si>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</si>
  <si>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</si>
  <si>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</si>
  <si>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</si>
  <si>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</si>
  <si>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</si>
  <si>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</si>
  <si>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</si>
  <si>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</si>
  <si>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</si>
  <si>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</si>
  <si>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</si>
  <si>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</si>
  <si>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</si>
  <si>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</si>
  <si>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</si>
  <si>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</si>
  <si>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</si>
  <si>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</si>
  <si>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</si>
  <si>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</si>
  <si>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</si>
  <si>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</si>
  <si>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</si>
  <si>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</si>
  <si>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</si>
  <si>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</si>
  <si>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</si>
  <si>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</si>
  <si>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</si>
  <si>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</si>
  <si>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</si>
  <si>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</si>
  <si>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</si>
  <si>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</si>
  <si>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</si>
  <si>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</si>
  <si>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</si>
  <si>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</si>
  <si>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</si>
  <si>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</si>
  <si>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</si>
  <si>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</si>
  <si>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</si>
  <si>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</si>
  <si>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</si>
  <si>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</si>
  <si>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</si>
  <si>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</si>
  <si>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</si>
  <si>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</si>
  <si>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</si>
  <si>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</si>
  <si>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</si>
  <si>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</si>
  <si>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</si>
  <si>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</si>
  <si>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</si>
  <si>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</si>
  <si>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</si>
  <si>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</si>
  <si>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</si>
  <si>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</si>
  <si>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</si>
  <si>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</si>
  <si>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</si>
  <si>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</si>
  <si>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</si>
  <si>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</si>
  <si>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</si>
  <si>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</si>
  <si>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</si>
  <si>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</si>
  <si>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</si>
  <si>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</si>
  <si>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</si>
  <si>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</si>
  <si>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</si>
  <si>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</si>
  <si>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</si>
  <si>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</si>
  <si>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</si>
  <si>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</si>
  <si>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</si>
  <si>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</si>
  <si>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</si>
  <si>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</si>
  <si>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</si>
  <si>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</si>
  <si>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</si>
  <si>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</si>
  <si>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</si>
  <si>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</si>
  <si>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</si>
  <si>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</si>
  <si>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</si>
  <si>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</si>
  <si>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</si>
  <si>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</si>
  <si>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</si>
  <si>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</si>
  <si>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</si>
  <si>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</si>
  <si>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</si>
  <si>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</si>
  <si>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</si>
  <si>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</si>
  <si>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</si>
  <si>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</si>
  <si>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</si>
  <si>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</si>
  <si>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</si>
  <si>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</si>
  <si>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</si>
  <si>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</si>
  <si>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</si>
  <si>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</si>
  <si>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</si>
  <si>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</si>
  <si>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</si>
  <si>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</si>
  <si>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</si>
  <si>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</si>
  <si>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</si>
  <si>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</si>
  <si>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</si>
  <si>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</si>
  <si>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</si>
  <si>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</si>
  <si>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</si>
  <si>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</si>
  <si>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</si>
  <si>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</si>
  <si>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</si>
  <si>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</si>
  <si>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</si>
  <si>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</si>
  <si>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</si>
  <si>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</si>
  <si>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</si>
  <si>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</si>
  <si>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</si>
  <si>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</si>
  <si>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</si>
  <si>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</si>
  <si>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</si>
  <si>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</si>
  <si>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</si>
  <si>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</si>
  <si>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</si>
  <si>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</si>
  <si>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</si>
  <si>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</si>
  <si>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</si>
  <si>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</si>
  <si>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</si>
  <si>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</si>
  <si>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</si>
  <si>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</si>
  <si>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</si>
  <si>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</si>
  <si>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</si>
  <si>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</si>
  <si>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</si>
  <si>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</si>
  <si>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</si>
  <si>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</si>
  <si>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</si>
  <si>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</si>
  <si>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</si>
  <si>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</si>
  <si>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</si>
  <si>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</si>
  <si>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</si>
  <si>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</si>
  <si>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</si>
  <si>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</si>
  <si>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</si>
  <si>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</si>
  <si>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</si>
  <si>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</si>
  <si>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</si>
  <si>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</si>
  <si>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</si>
  <si>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</si>
  <si>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</si>
  <si>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</si>
  <si>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</si>
  <si>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</si>
  <si>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</si>
  <si>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</si>
  <si>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</si>
  <si>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</si>
  <si>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</si>
  <si>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</si>
  <si>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</si>
  <si>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</si>
  <si>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</si>
  <si>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</si>
  <si>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</si>
  <si>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</si>
  <si>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</si>
  <si>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</si>
  <si>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</si>
  <si>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</si>
  <si>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</si>
  <si>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</si>
  <si>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</si>
  <si>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</si>
  <si>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</si>
  <si>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</si>
  <si>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</si>
  <si>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</si>
  <si>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</si>
  <si>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</si>
  <si>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</si>
  <si>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</si>
  <si>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</si>
  <si>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</si>
  <si>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</si>
  <si>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</si>
  <si>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</si>
  <si>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</si>
  <si>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</si>
  <si>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</si>
  <si>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</si>
  <si>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</si>
  <si>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</si>
  <si>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</si>
  <si>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</si>
  <si>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</si>
  <si>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</si>
  <si>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</si>
  <si>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</si>
  <si>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</si>
  <si>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</si>
  <si>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</si>
  <si>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</si>
  <si>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</si>
  <si>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</si>
  <si>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</si>
  <si>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</si>
  <si>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</si>
  <si>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</si>
  <si>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</si>
  <si>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</si>
  <si>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</si>
  <si>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</si>
  <si>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</si>
  <si>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</si>
  <si>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</si>
  <si>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</si>
  <si>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</si>
  <si>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</si>
  <si>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</si>
  <si>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</si>
  <si>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</si>
  <si>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</si>
  <si>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</si>
  <si>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</si>
  <si>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</si>
  <si>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</si>
  <si>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</si>
  <si>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</si>
  <si>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</si>
  <si>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</si>
  <si>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</si>
  <si>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</si>
  <si>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</si>
  <si>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</si>
  <si>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</si>
  <si>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</si>
  <si>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</si>
  <si>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</si>
  <si>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</si>
  <si>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</si>
  <si>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</si>
  <si>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</si>
  <si>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</si>
  <si>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</si>
  <si>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</si>
  <si>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</si>
  <si>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</si>
  <si>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</si>
  <si>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</si>
  <si>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</si>
  <si>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</si>
  <si>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</si>
  <si>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</si>
  <si>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</si>
  <si>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</si>
  <si>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</si>
  <si>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</si>
  <si>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</si>
  <si>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</si>
  <si>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</si>
  <si>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</si>
  <si>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</si>
  <si>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</si>
  <si>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</si>
  <si>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</si>
  <si>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</si>
  <si>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</si>
  <si>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</si>
  <si>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</si>
  <si>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</si>
  <si>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</si>
  <si>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</si>
  <si>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</si>
  <si>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</si>
  <si>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</si>
  <si>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</si>
  <si>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</si>
  <si>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</si>
  <si>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</si>
  <si>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</si>
  <si>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</si>
  <si>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</si>
  <si>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</si>
  <si>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</si>
  <si>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</si>
  <si>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</si>
  <si>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</si>
  <si>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</si>
  <si>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</si>
  <si>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</si>
  <si>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</si>
  <si>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</si>
  <si>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</si>
  <si>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</si>
  <si>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</si>
  <si>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</si>
  <si>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</si>
  <si>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</si>
  <si>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</si>
  <si>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</si>
  <si>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</si>
  <si>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</si>
  <si>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</si>
  <si>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</si>
  <si>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</si>
  <si>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</si>
  <si>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</si>
  <si>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</si>
  <si>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</si>
  <si>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</si>
  <si>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</si>
  <si>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</si>
  <si>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</si>
  <si>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</si>
  <si>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</si>
  <si>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</si>
  <si>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</si>
  <si>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</si>
  <si>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</si>
  <si>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</si>
  <si>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</si>
  <si>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</si>
  <si>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</si>
  <si>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</si>
  <si>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</si>
  <si>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</si>
  <si>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</si>
  <si>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</si>
  <si>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</si>
  <si>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</si>
  <si>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</si>
  <si>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</si>
  <si>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</si>
  <si>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</si>
  <si>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</si>
  <si>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</si>
  <si>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</si>
  <si>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</si>
  <si>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</si>
  <si>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</si>
  <si>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</si>
  <si>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</si>
  <si>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</si>
  <si>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</si>
  <si>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</si>
  <si>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</si>
  <si>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</si>
  <si>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</si>
  <si>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</si>
  <si>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</si>
  <si>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</si>
  <si>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</si>
  <si>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</si>
  <si>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</si>
  <si>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</si>
  <si>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</si>
  <si>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</si>
  <si>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</si>
  <si>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</si>
  <si>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</si>
  <si>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</si>
  <si>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</si>
  <si>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</si>
  <si>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</si>
  <si>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</si>
  <si>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</si>
  <si>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</si>
  <si>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</si>
  <si>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</si>
  <si>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</si>
  <si>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</si>
  <si>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</si>
  <si>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</si>
  <si>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</si>
  <si>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</si>
  <si>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</si>
  <si>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</si>
  <si>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</si>
  <si>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</si>
  <si>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</si>
  <si>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</si>
  <si>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</si>
  <si>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</si>
  <si>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</si>
  <si>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</si>
  <si>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</si>
  <si>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</si>
  <si>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</si>
  <si>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</si>
  <si>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</si>
  <si>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</si>
  <si>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</si>
  <si>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</si>
  <si>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</si>
  <si>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</si>
  <si>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</si>
  <si>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</si>
  <si>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</si>
  <si>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</si>
  <si>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</si>
  <si>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</si>
  <si>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</si>
  <si>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</si>
  <si>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</si>
  <si>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</si>
  <si>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</si>
  <si>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</si>
  <si>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</si>
  <si>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</si>
  <si>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</si>
  <si>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</si>
  <si>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</si>
  <si>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</si>
  <si>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</si>
  <si>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</si>
  <si>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</si>
  <si>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</si>
  <si>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</si>
  <si>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</si>
  <si>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</si>
  <si>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</si>
  <si>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</si>
  <si>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</si>
  <si>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</si>
  <si>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</si>
  <si>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</si>
  <si>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</si>
  <si>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</si>
  <si>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</si>
  <si>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</si>
  <si>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</si>
  <si>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</si>
  <si>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</si>
  <si>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</si>
  <si>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</si>
  <si>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</si>
  <si>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</si>
  <si>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</si>
  <si>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</si>
  <si>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</si>
  <si>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</si>
  <si>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</si>
  <si>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</si>
  <si>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</si>
  <si>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</si>
  <si>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</si>
  <si>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</si>
  <si>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</si>
  <si>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</si>
  <si>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</si>
  <si>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</si>
  <si>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</si>
  <si>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</si>
  <si>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</si>
  <si>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</si>
  <si>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</si>
  <si>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</si>
  <si>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</si>
  <si>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</si>
  <si>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</si>
  <si>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</si>
  <si>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</si>
  <si>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</si>
  <si>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</si>
  <si>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</si>
  <si>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</si>
  <si>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</si>
  <si>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</si>
  <si>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</si>
  <si>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</si>
  <si>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</si>
  <si>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</si>
  <si>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</si>
  <si>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</si>
  <si>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</si>
  <si>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</si>
  <si>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</si>
  <si>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</si>
  <si>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</si>
  <si>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</si>
  <si>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</si>
  <si>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</si>
  <si>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</si>
  <si>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</si>
  <si>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</si>
  <si>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</si>
  <si>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</si>
  <si>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</si>
  <si>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</si>
  <si>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</si>
  <si>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</si>
  <si>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</si>
  <si>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</si>
  <si>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</si>
  <si>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</si>
  <si>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</si>
  <si>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</si>
  <si>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</si>
  <si>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</si>
  <si>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</si>
  <si>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</si>
  <si>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</si>
  <si>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</si>
  <si>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</si>
  <si>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</si>
  <si>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</si>
  <si>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</si>
  <si>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</si>
  <si>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</si>
  <si>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</si>
  <si>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</si>
  <si>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</si>
  <si>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</si>
  <si>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</si>
  <si>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</si>
  <si>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</si>
  <si>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</si>
  <si>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</si>
  <si>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</si>
  <si>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</si>
  <si>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</si>
  <si>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</si>
  <si>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</si>
  <si>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</si>
  <si>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</si>
  <si>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</si>
  <si>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</si>
  <si>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</si>
  <si>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</si>
  <si>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</si>
  <si>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</si>
  <si>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</si>
  <si>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</si>
  <si>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</si>
  <si>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</si>
  <si>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</si>
  <si>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</si>
  <si>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</si>
  <si>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</si>
  <si>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</si>
  <si>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</si>
  <si>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</si>
  <si>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</si>
  <si>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</si>
  <si>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</si>
  <si>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</si>
  <si>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</si>
  <si>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</si>
  <si>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</si>
  <si>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</si>
  <si>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</si>
  <si>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</si>
  <si>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</si>
  <si>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</si>
  <si>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</si>
  <si>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</si>
  <si>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</si>
  <si>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</si>
  <si>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</si>
  <si>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</si>
  <si>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</si>
  <si>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</si>
  <si>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</si>
  <si>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</si>
  <si>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</si>
  <si>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</si>
  <si>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</si>
  <si>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</si>
  <si>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</si>
  <si>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</si>
  <si>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</si>
  <si>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</si>
  <si>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</si>
  <si>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</si>
  <si>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</si>
  <si>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</si>
  <si>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</si>
  <si>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</si>
  <si>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</si>
  <si>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</si>
  <si>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</si>
  <si>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</si>
  <si>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</si>
  <si>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</si>
  <si>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</si>
  <si>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</si>
  <si>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</si>
  <si>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</si>
  <si>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</si>
  <si>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</si>
  <si>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</si>
  <si>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</si>
  <si>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</si>
  <si>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</si>
  <si>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</si>
  <si>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</si>
  <si>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</si>
  <si>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</si>
  <si>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</si>
  <si>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</si>
  <si>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</si>
  <si>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</si>
  <si>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</si>
  <si>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</si>
  <si>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</si>
  <si>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</si>
  <si>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</si>
  <si>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</si>
  <si>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</si>
  <si>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</si>
  <si>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</si>
  <si>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</si>
  <si>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</si>
  <si>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</si>
  <si>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</si>
  <si>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</si>
  <si>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</si>
  <si>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</si>
  <si>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</si>
  <si>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</si>
  <si>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</si>
  <si>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</si>
  <si>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</si>
  <si>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</si>
  <si>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</si>
  <si>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</si>
  <si>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</si>
  <si>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</si>
  <si>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</si>
  <si>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</si>
  <si>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</si>
  <si>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</si>
  <si>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</si>
  <si>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</si>
  <si>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</si>
  <si>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</si>
  <si>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</si>
  <si>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</si>
  <si>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</si>
  <si>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</si>
  <si>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</si>
  <si>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</si>
  <si>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</si>
  <si>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</si>
  <si>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</si>
  <si>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</si>
  <si>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</si>
  <si>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</si>
  <si>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</si>
  <si>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</si>
  <si>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</si>
  <si>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</si>
  <si>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</si>
  <si>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</si>
  <si>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</si>
  <si>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</si>
  <si>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</si>
  <si>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</si>
  <si>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</si>
  <si>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</si>
  <si>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</si>
  <si>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</si>
  <si>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</si>
  <si>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</si>
  <si>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</si>
  <si>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</si>
  <si>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</si>
  <si>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</si>
  <si>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</si>
  <si>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</si>
  <si>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</si>
  <si>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</si>
  <si>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</si>
  <si>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</si>
  <si>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</si>
  <si>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</si>
  <si>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</si>
  <si>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24066</t>
  </si>
  <si>
    <t>LUBBEEK</t>
  </si>
  <si>
    <t>Eandis (januari 2018); Infrax (juni 2018)</t>
  </si>
  <si>
    <t>MOW (september 2017)</t>
  </si>
  <si>
    <t>referentietaak LNE (2017); Jaarverslag De Lijn (2016)</t>
  </si>
  <si>
    <t>VEA (april 2018)</t>
  </si>
  <si>
    <t>VEA (januari 2017)</t>
  </si>
  <si>
    <t>VEA (juni 2018)</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</si>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</sst>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129348.99886515089</c:v>
                </c:pt>
                <c:pt idx="1">
                  <c:v>24775.742902231232</c:v>
                </c:pt>
                <c:pt idx="2">
                  <c:v>885.03800000000001</c:v>
                </c:pt>
                <c:pt idx="3">
                  <c:v>4435.7439426796891</c:v>
                </c:pt>
                <c:pt idx="4">
                  <c:v>3450.5783238908998</c:v>
                </c:pt>
                <c:pt idx="5">
                  <c:v>69347.476184450948</c:v>
                </c:pt>
                <c:pt idx="6">
                  <c:v>3747.5822634672236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129348.99886515089</c:v>
                </c:pt>
                <c:pt idx="1">
                  <c:v>24775.742902231232</c:v>
                </c:pt>
                <c:pt idx="2">
                  <c:v>885.03800000000001</c:v>
                </c:pt>
                <c:pt idx="3">
                  <c:v>4435.7439426796891</c:v>
                </c:pt>
                <c:pt idx="4">
                  <c:v>3450.5783238908998</c:v>
                </c:pt>
                <c:pt idx="5">
                  <c:v>69347.476184450948</c:v>
                </c:pt>
                <c:pt idx="6">
                  <c:v>3747.5822634672236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27708.54665031454</c:v>
                </c:pt>
                <c:pt idx="1">
                  <c:v>4984.3635478361584</c:v>
                </c:pt>
                <c:pt idx="2">
                  <c:v>168.83286759889731</c:v>
                </c:pt>
                <c:pt idx="3">
                  <c:v>1123.566744686505</c:v>
                </c:pt>
                <c:pt idx="4">
                  <c:v>605.99701784902538</c:v>
                </c:pt>
                <c:pt idx="5">
                  <c:v>17356.37774861437</c:v>
                </c:pt>
                <c:pt idx="6">
                  <c:v>946.82877005457726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27708.54665031454</c:v>
                </c:pt>
                <c:pt idx="1">
                  <c:v>4984.3635478361584</c:v>
                </c:pt>
                <c:pt idx="2">
                  <c:v>168.83286759889731</c:v>
                </c:pt>
                <c:pt idx="3">
                  <c:v>1123.566744686505</c:v>
                </c:pt>
                <c:pt idx="4">
                  <c:v>605.99701784902538</c:v>
                </c:pt>
                <c:pt idx="5">
                  <c:v>17356.37774861437</c:v>
                </c:pt>
                <c:pt idx="6">
                  <c:v>946.82877005457726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24066</v>
      </c>
      <c r="B6" s="415"/>
      <c r="C6" s="416"/>
    </row>
    <row r="7" spans="1:7" s="413" customFormat="1" ht="15.75" customHeight="1">
      <c r="A7" s="417" t="str">
        <f>txtMunicipality</f>
        <v>LUBBEEK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5592</v>
      </c>
      <c r="C9" s="342">
        <v>5646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2324.04</v>
      </c>
    </row>
    <row r="15" spans="1:6">
      <c r="A15" s="348" t="s">
        <v>184</v>
      </c>
      <c r="B15" s="334">
        <v>445</v>
      </c>
    </row>
    <row r="16" spans="1:6">
      <c r="A16" s="348" t="s">
        <v>6</v>
      </c>
      <c r="B16" s="334">
        <v>492</v>
      </c>
    </row>
    <row r="17" spans="1:6">
      <c r="A17" s="348" t="s">
        <v>7</v>
      </c>
      <c r="B17" s="334">
        <v>304</v>
      </c>
    </row>
    <row r="18" spans="1:6">
      <c r="A18" s="348" t="s">
        <v>8</v>
      </c>
      <c r="B18" s="334">
        <v>582</v>
      </c>
    </row>
    <row r="19" spans="1:6">
      <c r="A19" s="348" t="s">
        <v>9</v>
      </c>
      <c r="B19" s="334">
        <v>520</v>
      </c>
    </row>
    <row r="20" spans="1:6">
      <c r="A20" s="348" t="s">
        <v>10</v>
      </c>
      <c r="B20" s="334">
        <v>318</v>
      </c>
    </row>
    <row r="21" spans="1:6">
      <c r="A21" s="348" t="s">
        <v>11</v>
      </c>
      <c r="B21" s="334">
        <v>917</v>
      </c>
    </row>
    <row r="22" spans="1:6">
      <c r="A22" s="348" t="s">
        <v>12</v>
      </c>
      <c r="B22" s="334">
        <v>1843</v>
      </c>
    </row>
    <row r="23" spans="1:6">
      <c r="A23" s="348" t="s">
        <v>13</v>
      </c>
      <c r="B23" s="334">
        <v>0</v>
      </c>
    </row>
    <row r="24" spans="1:6">
      <c r="A24" s="348" t="s">
        <v>14</v>
      </c>
      <c r="B24" s="334">
        <v>0</v>
      </c>
    </row>
    <row r="25" spans="1:6">
      <c r="A25" s="348" t="s">
        <v>15</v>
      </c>
      <c r="B25" s="334">
        <v>0</v>
      </c>
    </row>
    <row r="26" spans="1:6">
      <c r="A26" s="348" t="s">
        <v>16</v>
      </c>
      <c r="B26" s="334">
        <v>213</v>
      </c>
    </row>
    <row r="27" spans="1:6">
      <c r="A27" s="348" t="s">
        <v>17</v>
      </c>
      <c r="B27" s="334">
        <v>1</v>
      </c>
    </row>
    <row r="28" spans="1:6" s="356" customFormat="1">
      <c r="A28" s="355" t="s">
        <v>18</v>
      </c>
      <c r="B28" s="355">
        <v>0</v>
      </c>
    </row>
    <row r="29" spans="1:6">
      <c r="A29" s="355" t="s">
        <v>744</v>
      </c>
      <c r="B29" s="355">
        <v>241</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29</v>
      </c>
      <c r="F36" s="334">
        <v>2736019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2061</v>
      </c>
      <c r="D39" s="334">
        <v>34827670.000000007</v>
      </c>
      <c r="E39" s="334">
        <v>5434</v>
      </c>
      <c r="F39" s="334">
        <v>22370739.75</v>
      </c>
    </row>
    <row r="40" spans="1:6">
      <c r="A40" s="348" t="s">
        <v>30</v>
      </c>
      <c r="B40" s="348" t="s">
        <v>29</v>
      </c>
      <c r="C40" s="334">
        <v>0</v>
      </c>
      <c r="D40" s="334">
        <v>0</v>
      </c>
      <c r="E40" s="334">
        <v>0</v>
      </c>
      <c r="F40" s="334">
        <v>0</v>
      </c>
    </row>
    <row r="41" spans="1:6">
      <c r="A41" s="348" t="s">
        <v>32</v>
      </c>
      <c r="B41" s="348" t="s">
        <v>33</v>
      </c>
      <c r="C41" s="334">
        <v>25</v>
      </c>
      <c r="D41" s="334">
        <v>575562.09999999986</v>
      </c>
      <c r="E41" s="334">
        <v>87</v>
      </c>
      <c r="F41" s="334">
        <v>577833.1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49362</v>
      </c>
    </row>
    <row r="45" spans="1:6">
      <c r="A45" s="348" t="s">
        <v>32</v>
      </c>
      <c r="B45" s="348" t="s">
        <v>37</v>
      </c>
      <c r="C45" s="334">
        <v>0</v>
      </c>
      <c r="D45" s="334">
        <v>0</v>
      </c>
      <c r="E45" s="334">
        <v>3</v>
      </c>
      <c r="F45" s="334">
        <v>425087</v>
      </c>
    </row>
    <row r="46" spans="1:6">
      <c r="A46" s="348" t="s">
        <v>32</v>
      </c>
      <c r="B46" s="348" t="s">
        <v>38</v>
      </c>
      <c r="C46" s="334">
        <v>0</v>
      </c>
      <c r="D46" s="334">
        <v>0</v>
      </c>
      <c r="E46" s="334">
        <v>0</v>
      </c>
      <c r="F46" s="334">
        <v>0</v>
      </c>
    </row>
    <row r="47" spans="1:6">
      <c r="A47" s="348" t="s">
        <v>32</v>
      </c>
      <c r="B47" s="348" t="s">
        <v>39</v>
      </c>
      <c r="C47" s="334">
        <v>0</v>
      </c>
      <c r="D47" s="334">
        <v>0</v>
      </c>
      <c r="E47" s="334">
        <v>4</v>
      </c>
      <c r="F47" s="334">
        <v>100633</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5</v>
      </c>
      <c r="D50" s="334">
        <v>69260</v>
      </c>
      <c r="E50" s="334">
        <v>12</v>
      </c>
      <c r="F50" s="334">
        <v>298507</v>
      </c>
    </row>
    <row r="51" spans="1:6">
      <c r="A51" s="348" t="s">
        <v>42</v>
      </c>
      <c r="B51" s="348" t="s">
        <v>43</v>
      </c>
      <c r="C51" s="334">
        <v>7</v>
      </c>
      <c r="D51" s="334">
        <v>145659</v>
      </c>
      <c r="E51" s="334">
        <v>71</v>
      </c>
      <c r="F51" s="334">
        <v>806027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885038</v>
      </c>
    </row>
    <row r="55" spans="1:6">
      <c r="A55" s="348" t="s">
        <v>46</v>
      </c>
      <c r="B55" s="348" t="s">
        <v>29</v>
      </c>
      <c r="C55" s="334">
        <v>0</v>
      </c>
      <c r="D55" s="334">
        <v>0</v>
      </c>
      <c r="E55" s="334">
        <v>0</v>
      </c>
      <c r="F55" s="334">
        <v>0</v>
      </c>
    </row>
    <row r="56" spans="1:6">
      <c r="A56" s="348" t="s">
        <v>48</v>
      </c>
      <c r="B56" s="348" t="s">
        <v>29</v>
      </c>
      <c r="C56" s="334">
        <v>7</v>
      </c>
      <c r="D56" s="334">
        <v>942263</v>
      </c>
      <c r="E56" s="334">
        <v>8</v>
      </c>
      <c r="F56" s="334">
        <v>767336</v>
      </c>
    </row>
    <row r="57" spans="1:6">
      <c r="A57" s="348" t="s">
        <v>49</v>
      </c>
      <c r="B57" s="348" t="s">
        <v>50</v>
      </c>
      <c r="C57" s="334">
        <v>15</v>
      </c>
      <c r="D57" s="334">
        <v>426875</v>
      </c>
      <c r="E57" s="334">
        <v>56</v>
      </c>
      <c r="F57" s="334">
        <v>572881.4</v>
      </c>
    </row>
    <row r="58" spans="1:6">
      <c r="A58" s="348" t="s">
        <v>49</v>
      </c>
      <c r="B58" s="348" t="s">
        <v>51</v>
      </c>
      <c r="C58" s="334">
        <v>12</v>
      </c>
      <c r="D58" s="334">
        <v>1058582</v>
      </c>
      <c r="E58" s="334">
        <v>32</v>
      </c>
      <c r="F58" s="334">
        <v>4751732</v>
      </c>
    </row>
    <row r="59" spans="1:6">
      <c r="A59" s="348" t="s">
        <v>49</v>
      </c>
      <c r="B59" s="348" t="s">
        <v>52</v>
      </c>
      <c r="C59" s="334">
        <v>42</v>
      </c>
      <c r="D59" s="334">
        <v>1827210</v>
      </c>
      <c r="E59" s="334">
        <v>142</v>
      </c>
      <c r="F59" s="334">
        <v>4319299</v>
      </c>
    </row>
    <row r="60" spans="1:6">
      <c r="A60" s="348" t="s">
        <v>49</v>
      </c>
      <c r="B60" s="348" t="s">
        <v>53</v>
      </c>
      <c r="C60" s="334">
        <v>16</v>
      </c>
      <c r="D60" s="334">
        <v>496593</v>
      </c>
      <c r="E60" s="334">
        <v>39</v>
      </c>
      <c r="F60" s="334">
        <v>795859</v>
      </c>
    </row>
    <row r="61" spans="1:6">
      <c r="A61" s="348" t="s">
        <v>49</v>
      </c>
      <c r="B61" s="348" t="s">
        <v>54</v>
      </c>
      <c r="C61" s="334">
        <v>84</v>
      </c>
      <c r="D61" s="334">
        <v>3750249.85</v>
      </c>
      <c r="E61" s="334">
        <v>239</v>
      </c>
      <c r="F61" s="334">
        <v>3909763.75</v>
      </c>
    </row>
    <row r="62" spans="1:6">
      <c r="A62" s="348" t="s">
        <v>49</v>
      </c>
      <c r="B62" s="348" t="s">
        <v>55</v>
      </c>
      <c r="C62" s="334">
        <v>5</v>
      </c>
      <c r="D62" s="334">
        <v>138517</v>
      </c>
      <c r="E62" s="334">
        <v>7</v>
      </c>
      <c r="F62" s="334">
        <v>67347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14</v>
      </c>
      <c r="F68" s="334">
        <v>86596</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47727255</v>
      </c>
      <c r="E73" s="476">
        <v>41831154.393109255</v>
      </c>
    </row>
    <row r="74" spans="1:6">
      <c r="A74" s="348" t="s">
        <v>64</v>
      </c>
      <c r="B74" s="348" t="s">
        <v>657</v>
      </c>
      <c r="C74" s="1213" t="s">
        <v>659</v>
      </c>
      <c r="D74" s="476">
        <v>5590980.5288605103</v>
      </c>
      <c r="E74" s="476">
        <v>5171317.7665473046</v>
      </c>
    </row>
    <row r="75" spans="1:6">
      <c r="A75" s="348" t="s">
        <v>65</v>
      </c>
      <c r="B75" s="348" t="s">
        <v>656</v>
      </c>
      <c r="C75" s="1213" t="s">
        <v>660</v>
      </c>
      <c r="D75" s="476">
        <v>23241885</v>
      </c>
      <c r="E75" s="476">
        <v>21658746.052781355</v>
      </c>
    </row>
    <row r="76" spans="1:6">
      <c r="A76" s="348" t="s">
        <v>65</v>
      </c>
      <c r="B76" s="348" t="s">
        <v>657</v>
      </c>
      <c r="C76" s="1213" t="s">
        <v>661</v>
      </c>
      <c r="D76" s="476">
        <v>1332346.5288605106</v>
      </c>
      <c r="E76" s="476">
        <v>1153762.2398337156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1016406.9422789788</v>
      </c>
      <c r="C83" s="476">
        <v>1017790.1217325875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3924.8395581527702</v>
      </c>
    </row>
    <row r="92" spans="1:6">
      <c r="A92" s="341" t="s">
        <v>69</v>
      </c>
      <c r="B92" s="342">
        <v>1376.0267520696575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508</v>
      </c>
    </row>
    <row r="98" spans="1:6">
      <c r="A98" s="348" t="s">
        <v>72</v>
      </c>
      <c r="B98" s="334">
        <v>0</v>
      </c>
    </row>
    <row r="99" spans="1:6">
      <c r="A99" s="348" t="s">
        <v>73</v>
      </c>
      <c r="B99" s="334">
        <v>84</v>
      </c>
    </row>
    <row r="100" spans="1:6">
      <c r="A100" s="348" t="s">
        <v>74</v>
      </c>
      <c r="B100" s="334">
        <v>438</v>
      </c>
    </row>
    <row r="101" spans="1:6">
      <c r="A101" s="348" t="s">
        <v>75</v>
      </c>
      <c r="B101" s="334">
        <v>54</v>
      </c>
    </row>
    <row r="102" spans="1:6">
      <c r="A102" s="348" t="s">
        <v>76</v>
      </c>
      <c r="B102" s="334">
        <v>49</v>
      </c>
    </row>
    <row r="103" spans="1:6">
      <c r="A103" s="348" t="s">
        <v>77</v>
      </c>
      <c r="B103" s="334">
        <v>114</v>
      </c>
    </row>
    <row r="104" spans="1:6">
      <c r="A104" s="348" t="s">
        <v>78</v>
      </c>
      <c r="B104" s="334">
        <v>3638</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52</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173</v>
      </c>
    </row>
    <row r="130" spans="1:6">
      <c r="A130" s="348" t="s">
        <v>295</v>
      </c>
      <c r="B130" s="334">
        <v>3</v>
      </c>
    </row>
    <row r="131" spans="1:6">
      <c r="A131" s="348" t="s">
        <v>296</v>
      </c>
      <c r="B131" s="334">
        <v>2</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44697.368052982943</v>
      </c>
      <c r="C3" s="43" t="s">
        <v>170</v>
      </c>
      <c r="D3" s="43"/>
      <c r="E3" s="154"/>
      <c r="F3" s="43"/>
      <c r="G3" s="43"/>
      <c r="H3" s="43"/>
      <c r="I3" s="43"/>
      <c r="J3" s="43"/>
      <c r="K3" s="96"/>
    </row>
    <row r="4" spans="1:11">
      <c r="A4" s="383" t="s">
        <v>171</v>
      </c>
      <c r="B4" s="49">
        <f>IF(ISERROR('SEAP template'!B69),0,'SEAP template'!B69)</f>
        <v>6115.3663102224273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0.19076341083535092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885.03800000000001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885.03800000000001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0.19076341083535092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168.83286759889731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22370.739750000001</v>
      </c>
      <c r="C5" s="17">
        <f>IF(ISERROR('Eigen informatie GS &amp; warmtenet'!B57),0,'Eigen informatie GS &amp; warmtenet'!B57)</f>
        <v>0</v>
      </c>
      <c r="D5" s="30">
        <f>(SUM(HH_hh_gas_kWh,HH_rest_gas_kWh)/1000)*0.902</f>
        <v>31414.558340000007</v>
      </c>
      <c r="E5" s="17">
        <f>B46*B57</f>
        <v>3793.9706635034181</v>
      </c>
      <c r="F5" s="17">
        <f>B51*B62</f>
        <v>57997.528562938438</v>
      </c>
      <c r="G5" s="18"/>
      <c r="H5" s="17"/>
      <c r="I5" s="17"/>
      <c r="J5" s="17">
        <f>B50*B61+C50*C61</f>
        <v>0</v>
      </c>
      <c r="K5" s="17"/>
      <c r="L5" s="17"/>
      <c r="M5" s="17"/>
      <c r="N5" s="17">
        <f>B48*B59+C48*C59</f>
        <v>8311.9153238895833</v>
      </c>
      <c r="O5" s="17">
        <f>B69*B70*B71</f>
        <v>353.31333333333333</v>
      </c>
      <c r="P5" s="17">
        <f>B77*B78*B79/1000-B77*B78*B79/1000/B80</f>
        <v>1182.1333333333332</v>
      </c>
    </row>
    <row r="6" spans="1:16">
      <c r="A6" s="16" t="s">
        <v>621</v>
      </c>
      <c r="B6" s="843">
        <f>kWh_PV_kleiner_dan_10kW</f>
        <v>3924.8395581527702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26295.57930815277</v>
      </c>
      <c r="C8" s="21">
        <f>C5</f>
        <v>0</v>
      </c>
      <c r="D8" s="21">
        <f>D5</f>
        <v>31414.558340000007</v>
      </c>
      <c r="E8" s="21">
        <f>E5</f>
        <v>3793.9706635034181</v>
      </c>
      <c r="F8" s="21">
        <f>F5</f>
        <v>57997.528562938438</v>
      </c>
      <c r="G8" s="21"/>
      <c r="H8" s="21"/>
      <c r="I8" s="21"/>
      <c r="J8" s="21">
        <f>J5</f>
        <v>0</v>
      </c>
      <c r="K8" s="21"/>
      <c r="L8" s="21">
        <f>L5</f>
        <v>0</v>
      </c>
      <c r="M8" s="21">
        <f>M5</f>
        <v>0</v>
      </c>
      <c r="N8" s="21">
        <f>N5</f>
        <v>8311.9153238895833</v>
      </c>
      <c r="O8" s="21">
        <f>O5</f>
        <v>353.31333333333333</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0.19076341083535092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5016.2343987146996</v>
      </c>
      <c r="C12" s="23">
        <f ca="1">C10*C8</f>
        <v>0</v>
      </c>
      <c r="D12" s="23">
        <f>D8*D10</f>
        <v>6345.7407846800015</v>
      </c>
      <c r="E12" s="23">
        <f>E10*E8</f>
        <v>861.23134061527594</v>
      </c>
      <c r="F12" s="23">
        <f>F10*F8</f>
        <v>15485.340126304563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508</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14.583333333333334</v>
      </c>
      <c r="D20" s="229"/>
      <c r="E20" s="15"/>
    </row>
    <row r="21" spans="1:7">
      <c r="A21" s="171" t="s">
        <v>74</v>
      </c>
      <c r="B21" s="37">
        <f>aantalw2001_elektriciteit</f>
        <v>438</v>
      </c>
      <c r="C21" s="167">
        <f>IF(ISERROR(B21/SUM($B$20,$B$21,$B$22)*100),0,B21/SUM($B$20,$B$21,$B$22)*100)</f>
        <v>76.041666666666657</v>
      </c>
      <c r="D21" s="229"/>
      <c r="E21" s="15"/>
    </row>
    <row r="22" spans="1:7">
      <c r="A22" s="171" t="s">
        <v>75</v>
      </c>
      <c r="B22" s="37">
        <f>aantalw2001_hout</f>
        <v>54</v>
      </c>
      <c r="C22" s="167">
        <f>IF(ISERROR(B22/SUM($B$20,$B$21,$B$22)*100),0,B22/SUM($B$20,$B$21,$B$22)*100)</f>
        <v>9.375</v>
      </c>
      <c r="D22" s="229"/>
      <c r="E22" s="15"/>
    </row>
    <row r="23" spans="1:7">
      <c r="A23" s="171" t="s">
        <v>76</v>
      </c>
      <c r="B23" s="37">
        <f>aantalw2001_niet_gespec</f>
        <v>49</v>
      </c>
      <c r="C23" s="166" t="s">
        <v>111</v>
      </c>
      <c r="D23" s="228"/>
      <c r="E23" s="15"/>
    </row>
    <row r="24" spans="1:7">
      <c r="A24" s="171" t="s">
        <v>77</v>
      </c>
      <c r="B24" s="37">
        <f>aantalw2001_steenkool</f>
        <v>114</v>
      </c>
      <c r="C24" s="166" t="s">
        <v>111</v>
      </c>
      <c r="D24" s="229"/>
      <c r="E24" s="15"/>
    </row>
    <row r="25" spans="1:7">
      <c r="A25" s="171" t="s">
        <v>78</v>
      </c>
      <c r="B25" s="37">
        <f>aantalw2001_stookolie</f>
        <v>3638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5592</v>
      </c>
      <c r="C28" s="36"/>
      <c r="D28" s="228"/>
    </row>
    <row r="29" spans="1:7" s="15" customFormat="1">
      <c r="A29" s="230" t="s">
        <v>795</v>
      </c>
      <c r="B29" s="37">
        <f>SUM(HH_hh_gas_aantal,HH_rest_gas_aantal)</f>
        <v>2061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2061</v>
      </c>
      <c r="C32" s="167">
        <f>IF(ISERROR(B32/SUM($B$32,$B$34,$B$35,$B$36,$B$38,$B$39)*100),0,B32/SUM($B$32,$B$34,$B$35,$B$36,$B$38,$B$39)*100)</f>
        <v>37.269439421338156</v>
      </c>
      <c r="D32" s="233"/>
      <c r="G32" s="15"/>
    </row>
    <row r="33" spans="1:7">
      <c r="A33" s="171" t="s">
        <v>72</v>
      </c>
      <c r="B33" s="34" t="s">
        <v>111</v>
      </c>
      <c r="C33" s="167"/>
      <c r="D33" s="233"/>
      <c r="G33" s="15"/>
    </row>
    <row r="34" spans="1:7">
      <c r="A34" s="171" t="s">
        <v>73</v>
      </c>
      <c r="B34" s="33">
        <f>IF((($B$28-$B$32-$B$39-$B$77-$B$38)*C20/100)&lt;0,0,($B$28-$B$32-$B$39-$B$77-$B$38)*C20/100)</f>
        <v>179.18541666666664</v>
      </c>
      <c r="C34" s="167">
        <f>IF(ISERROR(B34/SUM($B$32,$B$34,$B$35,$B$36,$B$38,$B$39)*100),0,B34/SUM($B$32,$B$34,$B$35,$B$36,$B$38,$B$39)*100)</f>
        <v>3.2402426160337545</v>
      </c>
      <c r="D34" s="233"/>
      <c r="G34" s="15"/>
    </row>
    <row r="35" spans="1:7">
      <c r="A35" s="171" t="s">
        <v>74</v>
      </c>
      <c r="B35" s="33">
        <f>IF((($B$28-$B$32-$B$39-$B$77-$B$38)*C21/100)&lt;0,0,($B$28-$B$32-$B$39-$B$77-$B$38)*C21/100)</f>
        <v>934.32395833333317</v>
      </c>
      <c r="C35" s="167">
        <f>IF(ISERROR(B35/SUM($B$32,$B$34,$B$35,$B$36,$B$38,$B$39)*100),0,B35/SUM($B$32,$B$34,$B$35,$B$36,$B$38,$B$39)*100)</f>
        <v>16.89555078360458</v>
      </c>
      <c r="D35" s="233"/>
      <c r="G35" s="15"/>
    </row>
    <row r="36" spans="1:7">
      <c r="A36" s="171" t="s">
        <v>75</v>
      </c>
      <c r="B36" s="33">
        <f>IF((($B$28-$B$32-$B$39-$B$77-$B$38)*C22/100)&lt;0,0,($B$28-$B$32-$B$39-$B$77-$B$38)*C22/100)</f>
        <v>115.19062499999998</v>
      </c>
      <c r="C36" s="167">
        <f>IF(ISERROR(B36/SUM($B$32,$B$34,$B$35,$B$36,$B$38,$B$39)*100),0,B36/SUM($B$32,$B$34,$B$35,$B$36,$B$38,$B$39)*100)</f>
        <v>2.0830131103074137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2240.3000000000002</v>
      </c>
      <c r="C39" s="167">
        <f>IF(ISERROR(B39/SUM($B$32,$B$34,$B$35,$B$36,$B$38,$B$39)*100),0,B39/SUM($B$32,$B$34,$B$35,$B$36,$B$38,$B$39)*100)</f>
        <v>40.511754068716101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2061</v>
      </c>
      <c r="C44" s="34" t="s">
        <v>111</v>
      </c>
      <c r="D44" s="174"/>
    </row>
    <row r="45" spans="1:7">
      <c r="A45" s="171" t="s">
        <v>72</v>
      </c>
      <c r="B45" s="33" t="str">
        <f t="shared" si="0"/>
        <v>-</v>
      </c>
      <c r="C45" s="34" t="s">
        <v>111</v>
      </c>
      <c r="D45" s="174"/>
    </row>
    <row r="46" spans="1:7">
      <c r="A46" s="171" t="s">
        <v>73</v>
      </c>
      <c r="B46" s="33">
        <f t="shared" si="0"/>
        <v>179.18541666666664</v>
      </c>
      <c r="C46" s="34" t="s">
        <v>111</v>
      </c>
      <c r="D46" s="174"/>
    </row>
    <row r="47" spans="1:7">
      <c r="A47" s="171" t="s">
        <v>74</v>
      </c>
      <c r="B47" s="33">
        <f t="shared" si="0"/>
        <v>934.32395833333317</v>
      </c>
      <c r="C47" s="34" t="s">
        <v>111</v>
      </c>
      <c r="D47" s="174"/>
    </row>
    <row r="48" spans="1:7">
      <c r="A48" s="171" t="s">
        <v>75</v>
      </c>
      <c r="B48" s="33">
        <f t="shared" si="0"/>
        <v>115.19062499999998</v>
      </c>
      <c r="C48" s="33">
        <f>B48*10</f>
        <v>1151.9062499999998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2240.3000000000002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14416.882150000001</v>
      </c>
      <c r="C5" s="17">
        <f>IF(ISERROR('Eigen informatie GS &amp; warmtenet'!B58),0,'Eigen informatie GS &amp; warmtenet'!B58)</f>
        <v>0</v>
      </c>
      <c r="D5" s="30">
        <f>SUM(D6:D12)</f>
        <v>6943.6202187000008</v>
      </c>
      <c r="E5" s="17">
        <f>SUM(E6:E12)</f>
        <v>170.07803276482247</v>
      </c>
      <c r="F5" s="17">
        <f>SUM(F6:F12)</f>
        <v>2387.8267324235126</v>
      </c>
      <c r="G5" s="18"/>
      <c r="H5" s="17"/>
      <c r="I5" s="17"/>
      <c r="J5" s="17">
        <f>SUM(J6:J12)</f>
        <v>1.2435009560918328E-2</v>
      </c>
      <c r="K5" s="17"/>
      <c r="L5" s="17"/>
      <c r="M5" s="17"/>
      <c r="N5" s="17">
        <f>SUM(N6:N12)</f>
        <v>570.11775952379503</v>
      </c>
      <c r="O5" s="17">
        <f>B38*B39*B40</f>
        <v>4.6900000000000004</v>
      </c>
      <c r="P5" s="17">
        <f>B46*B47*B48/1000-B46*B47*B48/1000/B49</f>
        <v>38.133333333333333</v>
      </c>
      <c r="R5" s="32"/>
    </row>
    <row r="6" spans="1:18">
      <c r="A6" s="32" t="s">
        <v>54</v>
      </c>
      <c r="B6" s="37">
        <f>B26</f>
        <v>3909.7637500000001</v>
      </c>
      <c r="C6" s="33"/>
      <c r="D6" s="37">
        <f>IF(ISERROR(TER_kantoor_gas_kWh/1000),0,TER_kantoor_gas_kWh/1000)*0.902</f>
        <v>3382.7253647000002</v>
      </c>
      <c r="E6" s="33">
        <f>$C$26*'E Balans VL '!I12/100/3.6*1000000</f>
        <v>2.450509881794884E-2</v>
      </c>
      <c r="F6" s="33">
        <f>$C$26*('E Balans VL '!L12+'E Balans VL '!N12)/100/3.6*1000000</f>
        <v>587.52824240631594</v>
      </c>
      <c r="G6" s="34"/>
      <c r="H6" s="33"/>
      <c r="I6" s="33"/>
      <c r="J6" s="33">
        <f>$C$26*('E Balans VL '!D12+'E Balans VL '!E12)/100/3.6*1000000</f>
        <v>0</v>
      </c>
      <c r="K6" s="33"/>
      <c r="L6" s="33"/>
      <c r="M6" s="33"/>
      <c r="N6" s="33">
        <f>$C$26*'E Balans VL '!Y12/100/3.6*1000000</f>
        <v>3.7391093407818961</v>
      </c>
      <c r="O6" s="33"/>
      <c r="P6" s="33"/>
      <c r="R6" s="32"/>
    </row>
    <row r="7" spans="1:18">
      <c r="A7" s="32" t="s">
        <v>53</v>
      </c>
      <c r="B7" s="37">
        <f t="shared" ref="B7:B12" si="0">B27</f>
        <v>795.85900000000004</v>
      </c>
      <c r="C7" s="33"/>
      <c r="D7" s="37">
        <f>IF(ISERROR(TER_horeca_gas_kWh/1000),0,TER_horeca_gas_kWh/1000)*0.902</f>
        <v>447.92688600000002</v>
      </c>
      <c r="E7" s="33">
        <f>$C$27*'E Balans VL '!I9/100/3.6*1000000</f>
        <v>11.396568315196967</v>
      </c>
      <c r="F7" s="33">
        <f>$C$27*('E Balans VL '!L9+'E Balans VL '!N9)/100/3.6*1000000</f>
        <v>100.78199784106388</v>
      </c>
      <c r="G7" s="34"/>
      <c r="H7" s="33"/>
      <c r="I7" s="33"/>
      <c r="J7" s="33">
        <f>$C$27*('E Balans VL '!D9+'E Balans VL '!E9)/100/3.6*1000000</f>
        <v>0</v>
      </c>
      <c r="K7" s="33"/>
      <c r="L7" s="33"/>
      <c r="M7" s="33"/>
      <c r="N7" s="33">
        <f>$C$27*'E Balans VL '!Y9/100/3.6*1000000</f>
        <v>0.22879191531529447</v>
      </c>
      <c r="O7" s="33"/>
      <c r="P7" s="33"/>
      <c r="R7" s="32"/>
    </row>
    <row r="8" spans="1:18">
      <c r="A8" s="6" t="s">
        <v>52</v>
      </c>
      <c r="B8" s="37">
        <f t="shared" si="0"/>
        <v>4319.299</v>
      </c>
      <c r="C8" s="33"/>
      <c r="D8" s="37">
        <f>IF(ISERROR(TER_handel_gas_kWh/1000),0,TER_handel_gas_kWh/1000)*0.902</f>
        <v>1648.1434200000001</v>
      </c>
      <c r="E8" s="33">
        <f>$C$28*'E Balans VL '!I13/100/3.6*1000000</f>
        <v>156.66044209791005</v>
      </c>
      <c r="F8" s="33">
        <f>$C$28*('E Balans VL '!L13+'E Balans VL '!N13)/100/3.6*1000000</f>
        <v>831.94072308300281</v>
      </c>
      <c r="G8" s="34"/>
      <c r="H8" s="33"/>
      <c r="I8" s="33"/>
      <c r="J8" s="33">
        <f>$C$28*('E Balans VL '!D13+'E Balans VL '!E13)/100/3.6*1000000</f>
        <v>0</v>
      </c>
      <c r="K8" s="33"/>
      <c r="L8" s="33"/>
      <c r="M8" s="33"/>
      <c r="N8" s="33">
        <f>$C$28*'E Balans VL '!Y13/100/3.6*1000000</f>
        <v>5.9832229413765701</v>
      </c>
      <c r="O8" s="33"/>
      <c r="P8" s="33"/>
      <c r="R8" s="32"/>
    </row>
    <row r="9" spans="1:18">
      <c r="A9" s="32" t="s">
        <v>51</v>
      </c>
      <c r="B9" s="37">
        <f t="shared" si="0"/>
        <v>4751.732</v>
      </c>
      <c r="C9" s="33"/>
      <c r="D9" s="37">
        <f>IF(ISERROR(TER_gezond_gas_kWh/1000),0,TER_gezond_gas_kWh/1000)*0.902</f>
        <v>954.8409640000001</v>
      </c>
      <c r="E9" s="33">
        <f>$C$29*'E Balans VL '!I10/100/3.6*1000000</f>
        <v>0.29750533807783719</v>
      </c>
      <c r="F9" s="33">
        <f>$C$29*('E Balans VL '!L10+'E Balans VL '!N10)/100/3.6*1000000</f>
        <v>705.88425624611409</v>
      </c>
      <c r="G9" s="34"/>
      <c r="H9" s="33"/>
      <c r="I9" s="33"/>
      <c r="J9" s="33">
        <f>$C$29*('E Balans VL '!D10+'E Balans VL '!E10)/100/3.6*1000000</f>
        <v>0</v>
      </c>
      <c r="K9" s="33"/>
      <c r="L9" s="33"/>
      <c r="M9" s="33"/>
      <c r="N9" s="33">
        <f>$C$29*'E Balans VL '!Y10/100/3.6*1000000</f>
        <v>73.500249078945075</v>
      </c>
      <c r="O9" s="33"/>
      <c r="P9" s="33"/>
      <c r="R9" s="32"/>
    </row>
    <row r="10" spans="1:18">
      <c r="A10" s="32" t="s">
        <v>50</v>
      </c>
      <c r="B10" s="37">
        <f t="shared" si="0"/>
        <v>572.88139999999999</v>
      </c>
      <c r="C10" s="33"/>
      <c r="D10" s="37">
        <f>IF(ISERROR(TER_ander_gas_kWh/1000),0,TER_ander_gas_kWh/1000)*0.902</f>
        <v>385.04124999999999</v>
      </c>
      <c r="E10" s="33">
        <f>$C$30*'E Balans VL '!I14/100/3.6*1000000</f>
        <v>0.68285415747780964</v>
      </c>
      <c r="F10" s="33">
        <f>$C$30*('E Balans VL '!L14+'E Balans VL '!N14)/100/3.6*1000000</f>
        <v>149.89124254668317</v>
      </c>
      <c r="G10" s="34"/>
      <c r="H10" s="33"/>
      <c r="I10" s="33"/>
      <c r="J10" s="33">
        <f>$C$30*('E Balans VL '!D14+'E Balans VL '!E14)/100/3.6*1000000</f>
        <v>1.2435009560918328E-2</v>
      </c>
      <c r="K10" s="33"/>
      <c r="L10" s="33"/>
      <c r="M10" s="33"/>
      <c r="N10" s="33">
        <f>$C$30*'E Balans VL '!Y14/100/3.6*1000000</f>
        <v>486.47686666946231</v>
      </c>
      <c r="O10" s="33"/>
      <c r="P10" s="33"/>
      <c r="R10" s="32"/>
    </row>
    <row r="11" spans="1:18">
      <c r="A11" s="32" t="s">
        <v>55</v>
      </c>
      <c r="B11" s="37">
        <f t="shared" si="0"/>
        <v>67.346999999999994</v>
      </c>
      <c r="C11" s="33"/>
      <c r="D11" s="37">
        <f>IF(ISERROR(TER_onderwijs_gas_kWh/1000),0,TER_onderwijs_gas_kWh/1000)*0.902</f>
        <v>124.942334</v>
      </c>
      <c r="E11" s="33">
        <f>$C$31*'E Balans VL '!I11/100/3.6*1000000</f>
        <v>1.0161577573418681</v>
      </c>
      <c r="F11" s="33">
        <f>$C$31*('E Balans VL '!L11+'E Balans VL '!N11)/100/3.6*1000000</f>
        <v>11.800270300332675</v>
      </c>
      <c r="G11" s="34"/>
      <c r="H11" s="33"/>
      <c r="I11" s="33"/>
      <c r="J11" s="33">
        <f>$C$31*('E Balans VL '!D11+'E Balans VL '!E11)/100/3.6*1000000</f>
        <v>0</v>
      </c>
      <c r="K11" s="33"/>
      <c r="L11" s="33"/>
      <c r="M11" s="33"/>
      <c r="N11" s="33">
        <f>$C$31*'E Balans VL '!Y11/100/3.6*1000000</f>
        <v>0.18951957791391591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814.5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-2327.1428571428573</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15231.382150000001</v>
      </c>
      <c r="C16" s="21">
        <f t="shared" ca="1" si="1"/>
        <v>0</v>
      </c>
      <c r="D16" s="21">
        <f t="shared" ca="1" si="1"/>
        <v>6943.6202187000008</v>
      </c>
      <c r="E16" s="21">
        <f t="shared" si="1"/>
        <v>170.07803276482247</v>
      </c>
      <c r="F16" s="21">
        <f t="shared" ca="1" si="1"/>
        <v>2387.8267324235126</v>
      </c>
      <c r="G16" s="21">
        <f t="shared" si="1"/>
        <v>0</v>
      </c>
      <c r="H16" s="21">
        <f t="shared" si="1"/>
        <v>0</v>
      </c>
      <c r="I16" s="21">
        <f t="shared" si="1"/>
        <v>0</v>
      </c>
      <c r="J16" s="21">
        <f t="shared" si="1"/>
        <v>1.2435009560918328E-2</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0.19076341083535092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2905.5904106706807</v>
      </c>
      <c r="C20" s="23">
        <f t="shared" ref="C20:P20" ca="1" si="2">C16*C18</f>
        <v>0</v>
      </c>
      <c r="D20" s="23">
        <f t="shared" ca="1" si="2"/>
        <v>1402.6112841774002</v>
      </c>
      <c r="E20" s="23">
        <f t="shared" si="2"/>
        <v>38.607713437614699</v>
      </c>
      <c r="F20" s="23">
        <f t="shared" ca="1" si="2"/>
        <v>637.54973755707795</v>
      </c>
      <c r="G20" s="23">
        <f t="shared" si="2"/>
        <v>0</v>
      </c>
      <c r="H20" s="23">
        <f t="shared" si="2"/>
        <v>0</v>
      </c>
      <c r="I20" s="23">
        <f t="shared" si="2"/>
        <v>0</v>
      </c>
      <c r="J20" s="23">
        <f t="shared" si="2"/>
        <v>4.401993384565088E-3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3909.7637500000001</v>
      </c>
      <c r="C26" s="39">
        <f>IF(ISERROR(B26*3.6/1000000/'E Balans VL '!Z12*100),0,B26*3.6/1000000/'E Balans VL '!Z12*100)</f>
        <v>8.2646212108934275E-2</v>
      </c>
      <c r="D26" s="237" t="s">
        <v>754</v>
      </c>
      <c r="F26" s="6"/>
    </row>
    <row r="27" spans="1:18">
      <c r="A27" s="231" t="s">
        <v>53</v>
      </c>
      <c r="B27" s="33">
        <f>IF(ISERROR(TER_horeca_ele_kWh/1000),0,TER_horeca_ele_kWh/1000)</f>
        <v>795.85900000000004</v>
      </c>
      <c r="C27" s="39">
        <f>IF(ISERROR(B27*3.6/1000000/'E Balans VL '!Z9*100),0,B27*3.6/1000000/'E Balans VL '!Z9*100)</f>
        <v>6.27372683382071E-2</v>
      </c>
      <c r="D27" s="237" t="s">
        <v>754</v>
      </c>
      <c r="F27" s="6"/>
    </row>
    <row r="28" spans="1:18">
      <c r="A28" s="171" t="s">
        <v>52</v>
      </c>
      <c r="B28" s="33">
        <f>IF(ISERROR(TER_handel_ele_kWh/1000),0,TER_handel_ele_kWh/1000)</f>
        <v>4319.299</v>
      </c>
      <c r="C28" s="39">
        <f>IF(ISERROR(B28*3.6/1000000/'E Balans VL '!Z13*100),0,B28*3.6/1000000/'E Balans VL '!Z13*100)</f>
        <v>0.12536350890355455</v>
      </c>
      <c r="D28" s="237" t="s">
        <v>754</v>
      </c>
      <c r="F28" s="6"/>
    </row>
    <row r="29" spans="1:18">
      <c r="A29" s="231" t="s">
        <v>51</v>
      </c>
      <c r="B29" s="33">
        <f>IF(ISERROR(TER_gezond_ele_kWh/1000),0,TER_gezond_ele_kWh/1000)</f>
        <v>4751.732</v>
      </c>
      <c r="C29" s="39">
        <f>IF(ISERROR(B29*3.6/1000000/'E Balans VL '!Z10*100),0,B29*3.6/1000000/'E Balans VL '!Z10*100)</f>
        <v>0.50043540509901152</v>
      </c>
      <c r="D29" s="237" t="s">
        <v>754</v>
      </c>
      <c r="F29" s="6"/>
    </row>
    <row r="30" spans="1:18">
      <c r="A30" s="231" t="s">
        <v>50</v>
      </c>
      <c r="B30" s="33">
        <f>IF(ISERROR(TER_ander_ele_kWh/1000),0,TER_ander_ele_kWh/1000)</f>
        <v>572.88139999999999</v>
      </c>
      <c r="C30" s="39">
        <f>IF(ISERROR(B30*3.6/1000000/'E Balans VL '!Z14*100),0,B30*3.6/1000000/'E Balans VL '!Z14*100)</f>
        <v>4.2255856493221125E-2</v>
      </c>
      <c r="D30" s="237" t="s">
        <v>754</v>
      </c>
      <c r="F30" s="6"/>
    </row>
    <row r="31" spans="1:18">
      <c r="A31" s="231" t="s">
        <v>55</v>
      </c>
      <c r="B31" s="33">
        <f>IF(ISERROR(TER_onderwijs_ele_kWh/1000),0,TER_onderwijs_ele_kWh/1000)</f>
        <v>67.346999999999994</v>
      </c>
      <c r="C31" s="39">
        <f>IF(ISERROR(B31*3.6/1000000/'E Balans VL '!Z11*100),0,B31*3.6/1000000/'E Balans VL '!Z11*100)</f>
        <v>1.6725414819267915E-2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1451.4221</v>
      </c>
      <c r="C5" s="17">
        <f>IF(ISERROR('Eigen informatie GS &amp; warmtenet'!B59),0,'Eigen informatie GS &amp; warmtenet'!B59)</f>
        <v>0</v>
      </c>
      <c r="D5" s="30">
        <f>SUM(D6:D15)</f>
        <v>581.62953419999997</v>
      </c>
      <c r="E5" s="17">
        <f>SUM(E6:E15)</f>
        <v>182.4614932931872</v>
      </c>
      <c r="F5" s="17">
        <f>SUM(F6:F15)</f>
        <v>636.54707007002753</v>
      </c>
      <c r="G5" s="18"/>
      <c r="H5" s="17"/>
      <c r="I5" s="17"/>
      <c r="J5" s="17">
        <f>SUM(J6:J15)</f>
        <v>0.71410987730687692</v>
      </c>
      <c r="K5" s="17"/>
      <c r="L5" s="17"/>
      <c r="M5" s="17"/>
      <c r="N5" s="17">
        <f>SUM(N6:N15)</f>
        <v>597.80401645037796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49.362000000000002</v>
      </c>
      <c r="C8" s="33"/>
      <c r="D8" s="37">
        <f>IF( ISERROR(IND_metaal_Gas_kWH/1000),0,IND_metaal_Gas_kWH/1000)*0.902</f>
        <v>0</v>
      </c>
      <c r="E8" s="33">
        <f>C30*'E Balans VL '!I18/100/3.6*1000000</f>
        <v>0.45383591572701631</v>
      </c>
      <c r="F8" s="33">
        <f>C30*'E Balans VL '!L18/100/3.6*1000000+C30*'E Balans VL '!N18/100/3.6*1000000</f>
        <v>4.6285121726647498</v>
      </c>
      <c r="G8" s="34"/>
      <c r="H8" s="33"/>
      <c r="I8" s="33"/>
      <c r="J8" s="40">
        <f>C30*'E Balans VL '!D18/100/3.6*1000000+C30*'E Balans VL '!E18/100/3.6*1000000</f>
        <v>0</v>
      </c>
      <c r="K8" s="33"/>
      <c r="L8" s="33"/>
      <c r="M8" s="33"/>
      <c r="N8" s="33">
        <f>C30*'E Balans VL '!Y18/100/3.6*1000000</f>
        <v>0.70423050414017274</v>
      </c>
      <c r="O8" s="33"/>
      <c r="P8" s="33"/>
      <c r="R8" s="32"/>
    </row>
    <row r="9" spans="1:18">
      <c r="A9" s="6" t="s">
        <v>33</v>
      </c>
      <c r="B9" s="37">
        <f t="shared" si="0"/>
        <v>577.83309999999994</v>
      </c>
      <c r="C9" s="33"/>
      <c r="D9" s="37">
        <f>IF( ISERROR(IND_andere_gas_kWh/1000),0,IND_andere_gas_kWh/1000)*0.902</f>
        <v>519.15701419999994</v>
      </c>
      <c r="E9" s="33">
        <f>C31*'E Balans VL '!I19/100/3.6*1000000</f>
        <v>168.91186421363525</v>
      </c>
      <c r="F9" s="33">
        <f>C31*'E Balans VL '!L19/100/3.6*1000000+C31*'E Balans VL '!N19/100/3.6*1000000</f>
        <v>464.33263379676845</v>
      </c>
      <c r="G9" s="34"/>
      <c r="H9" s="33"/>
      <c r="I9" s="33"/>
      <c r="J9" s="40">
        <f>C31*'E Balans VL '!D19/100/3.6*1000000+C31*'E Balans VL '!E19/100/3.6*1000000</f>
        <v>0</v>
      </c>
      <c r="K9" s="33"/>
      <c r="L9" s="33"/>
      <c r="M9" s="33"/>
      <c r="N9" s="33">
        <f>C31*'E Balans VL '!Y19/100/3.6*1000000</f>
        <v>190.92501779600613</v>
      </c>
      <c r="O9" s="33"/>
      <c r="P9" s="33"/>
      <c r="R9" s="32"/>
    </row>
    <row r="10" spans="1:18">
      <c r="A10" s="6" t="s">
        <v>41</v>
      </c>
      <c r="B10" s="37">
        <f t="shared" si="0"/>
        <v>298.50700000000001</v>
      </c>
      <c r="C10" s="33"/>
      <c r="D10" s="37">
        <f>IF( ISERROR(IND_voed_gas_kWh/1000),0,IND_voed_gas_kWh/1000)*0.902</f>
        <v>62.472520000000003</v>
      </c>
      <c r="E10" s="33">
        <f>C32*'E Balans VL '!I20/100/3.6*1000000</f>
        <v>0.63149618690585319</v>
      </c>
      <c r="F10" s="33">
        <f>C32*'E Balans VL '!L20/100/3.6*1000000+C32*'E Balans VL '!N20/100/3.6*1000000</f>
        <v>18.97937997595897</v>
      </c>
      <c r="G10" s="34"/>
      <c r="H10" s="33"/>
      <c r="I10" s="33"/>
      <c r="J10" s="40">
        <f>C32*'E Balans VL '!D20/100/3.6*1000000+C32*'E Balans VL '!E20/100/3.6*1000000</f>
        <v>0</v>
      </c>
      <c r="K10" s="33"/>
      <c r="L10" s="33"/>
      <c r="M10" s="33"/>
      <c r="N10" s="33">
        <f>C32*'E Balans VL '!Y20/100/3.6*1000000</f>
        <v>20.599928739053897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425.08699999999999</v>
      </c>
      <c r="C12" s="33"/>
      <c r="D12" s="37">
        <f>IF( ISERROR(IND_min_gas_kWh/1000),0,IND_min_gas_kWh/1000)*0.902</f>
        <v>0</v>
      </c>
      <c r="E12" s="33">
        <f>C34*'E Balans VL '!I22/100/3.6*1000000</f>
        <v>12.321521764507532</v>
      </c>
      <c r="F12" s="33">
        <f>C34*'E Balans VL '!L22/100/3.6*1000000+C34*'E Balans VL '!N22/100/3.6*1000000</f>
        <v>146.14971419015808</v>
      </c>
      <c r="G12" s="34"/>
      <c r="H12" s="33"/>
      <c r="I12" s="33"/>
      <c r="J12" s="40">
        <f>C34*'E Balans VL '!D22/100/3.6*1000000+C34*'E Balans VL '!E22/100/3.6*1000000</f>
        <v>0.69854603905669921</v>
      </c>
      <c r="K12" s="33"/>
      <c r="L12" s="33"/>
      <c r="M12" s="33"/>
      <c r="N12" s="33">
        <f>C34*'E Balans VL '!Y22/100/3.6*1000000</f>
        <v>93.05852987849228</v>
      </c>
      <c r="O12" s="33"/>
      <c r="P12" s="33"/>
      <c r="R12" s="32"/>
    </row>
    <row r="13" spans="1:18">
      <c r="A13" s="6" t="s">
        <v>39</v>
      </c>
      <c r="B13" s="37">
        <f t="shared" si="0"/>
        <v>100.633</v>
      </c>
      <c r="C13" s="33"/>
      <c r="D13" s="37">
        <f>IF( ISERROR(IND_papier_gas_kWh/1000),0,IND_papier_gas_kWh/1000)*0.902</f>
        <v>0</v>
      </c>
      <c r="E13" s="33">
        <f>C35*'E Balans VL '!I23/100/3.6*1000000</f>
        <v>0.1427752124115618</v>
      </c>
      <c r="F13" s="33">
        <f>C35*'E Balans VL '!L23/100/3.6*1000000+C35*'E Balans VL '!N23/100/3.6*1000000</f>
        <v>2.4568299344774056</v>
      </c>
      <c r="G13" s="34"/>
      <c r="H13" s="33"/>
      <c r="I13" s="33"/>
      <c r="J13" s="40">
        <f>C35*'E Balans VL '!D23/100/3.6*1000000+C35*'E Balans VL '!E23/100/3.6*1000000</f>
        <v>1.5563838250177717E-2</v>
      </c>
      <c r="K13" s="33"/>
      <c r="L13" s="33"/>
      <c r="M13" s="33"/>
      <c r="N13" s="33">
        <f>C35*'E Balans VL '!Y23/100/3.6*1000000</f>
        <v>292.5163095326854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1451.4221</v>
      </c>
      <c r="C18" s="21">
        <f>C5+C16</f>
        <v>0</v>
      </c>
      <c r="D18" s="21">
        <f>MAX((D5+D16),0)</f>
        <v>581.62953419999997</v>
      </c>
      <c r="E18" s="21">
        <f>MAX((E5+E16),0)</f>
        <v>182.4614932931872</v>
      </c>
      <c r="F18" s="21">
        <f>MAX((F5+F16),0)</f>
        <v>636.54707007002753</v>
      </c>
      <c r="G18" s="21"/>
      <c r="H18" s="21"/>
      <c r="I18" s="21"/>
      <c r="J18" s="21">
        <f>MAX((J5+J16),0)</f>
        <v>0.71410987730687692</v>
      </c>
      <c r="K18" s="21"/>
      <c r="L18" s="21">
        <f>MAX((L5+L16),0)</f>
        <v>0</v>
      </c>
      <c r="M18" s="21"/>
      <c r="N18" s="21">
        <f>MAX((N5+N16),0)</f>
        <v>597.80401645037796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0.19076341083535092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276.87823035780781</v>
      </c>
      <c r="C22" s="23">
        <f ca="1">C18*C20</f>
        <v>0</v>
      </c>
      <c r="D22" s="23">
        <f>D18*D20</f>
        <v>117.4891659084</v>
      </c>
      <c r="E22" s="23">
        <f>E18*E20</f>
        <v>41.418758977553495</v>
      </c>
      <c r="F22" s="23">
        <f>F18*F20</f>
        <v>169.95806770869737</v>
      </c>
      <c r="G22" s="23"/>
      <c r="H22" s="23"/>
      <c r="I22" s="23"/>
      <c r="J22" s="23">
        <f>J18*J20</f>
        <v>0.2527948965666344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49.362000000000002</v>
      </c>
      <c r="C30" s="39">
        <f>IF(ISERROR(B30*3.6/1000000/'E Balans VL '!Z18*100),0,B30*3.6/1000000/'E Balans VL '!Z18*100)</f>
        <v>2.7974711124464507E-3</v>
      </c>
      <c r="D30" s="237" t="s">
        <v>754</v>
      </c>
    </row>
    <row r="31" spans="1:18">
      <c r="A31" s="6" t="s">
        <v>33</v>
      </c>
      <c r="B31" s="37">
        <f>IF( ISERROR(IND_ander_ele_kWh/1000),0,IND_ander_ele_kWh/1000)</f>
        <v>577.83309999999994</v>
      </c>
      <c r="C31" s="39">
        <f>IF(ISERROR(B31*3.6/1000000/'E Balans VL '!Z19*100),0,B31*3.6/1000000/'E Balans VL '!Z19*100)</f>
        <v>2.6208103360848254E-2</v>
      </c>
      <c r="D31" s="237" t="s">
        <v>754</v>
      </c>
    </row>
    <row r="32" spans="1:18">
      <c r="A32" s="171" t="s">
        <v>41</v>
      </c>
      <c r="B32" s="37">
        <f>IF( ISERROR(IND_voed_ele_kWh/1000),0,IND_voed_ele_kWh/1000)</f>
        <v>298.50700000000001</v>
      </c>
      <c r="C32" s="39">
        <f>IF(ISERROR(B32*3.6/1000000/'E Balans VL '!Z20*100),0,B32*3.6/1000000/'E Balans VL '!Z20*100)</f>
        <v>9.2341766173608397E-3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425.08699999999999</v>
      </c>
      <c r="C34" s="39">
        <f>IF(ISERROR(B34*3.6/1000000/'E Balans VL '!Z22*100),0,B34*3.6/1000000/'E Balans VL '!Z22*100)</f>
        <v>7.6459888738343806E-2</v>
      </c>
      <c r="D34" s="237" t="s">
        <v>754</v>
      </c>
    </row>
    <row r="35" spans="1:5">
      <c r="A35" s="171" t="s">
        <v>39</v>
      </c>
      <c r="B35" s="37">
        <f>IF( ISERROR(IND_papier_ele_kWh/1000),0,IND_papier_ele_kWh/1000)</f>
        <v>100.633</v>
      </c>
      <c r="C35" s="39">
        <f>IF(ISERROR(B35*3.6/1000000/'E Balans VL '!Z22*100),0,B35*3.6/1000000/'E Balans VL '!Z22*100)</f>
        <v>1.8100736986559816E-2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806.02700000000004</v>
      </c>
      <c r="C5" s="17">
        <f>'Eigen informatie GS &amp; warmtenet'!B60</f>
        <v>0</v>
      </c>
      <c r="D5" s="30">
        <f>IF(ISERROR(SUM(LB_lb_gas_kWh,LB_rest_gas_kWh,onbekend_gas_kWh)/1000),0,SUM(LB_lb_gas_kWh,LB_rest_gas_kWh,onbekend_gas_kWh)/1000)*0.902</f>
        <v>131.38441799999998</v>
      </c>
      <c r="E5" s="17">
        <f>B17*'E Balans VL '!I25/3.6*1000000/100</f>
        <v>23.691595420613108</v>
      </c>
      <c r="F5" s="17">
        <f>B17*('E Balans VL '!L25/3.6*1000000+'E Balans VL '!N25/3.6*1000000)/100</f>
        <v>3357.8649265870422</v>
      </c>
      <c r="G5" s="18"/>
      <c r="H5" s="17"/>
      <c r="I5" s="17"/>
      <c r="J5" s="17">
        <f>('E Balans VL '!D25+'E Balans VL '!E25)/3.6*1000000*landbouw!B17/100</f>
        <v>116.77600267203364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806.02700000000004</v>
      </c>
      <c r="C8" s="21">
        <f>C5+C6</f>
        <v>0</v>
      </c>
      <c r="D8" s="21">
        <f>MAX((D5+D6),0)</f>
        <v>131.38441799999998</v>
      </c>
      <c r="E8" s="21">
        <f>MAX((E5+E6),0)</f>
        <v>23.691595420613108</v>
      </c>
      <c r="F8" s="21">
        <f>MAX((F5+F6),0)</f>
        <v>3357.8649265870422</v>
      </c>
      <c r="G8" s="21"/>
      <c r="H8" s="21"/>
      <c r="I8" s="21"/>
      <c r="J8" s="21">
        <f>MAX((J5+J6),0)</f>
        <v>116.77600267203364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0.19076341083535092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153.76045974538542</v>
      </c>
      <c r="C12" s="23">
        <f ca="1">C8*C10</f>
        <v>0</v>
      </c>
      <c r="D12" s="23">
        <f>D8*D10</f>
        <v>26.539652435999997</v>
      </c>
      <c r="E12" s="23">
        <f>E8*E10</f>
        <v>5.3779921604791756</v>
      </c>
      <c r="F12" s="23">
        <f>F8*F10</f>
        <v>896.54993539874033</v>
      </c>
      <c r="G12" s="23"/>
      <c r="H12" s="23"/>
      <c r="I12" s="23"/>
      <c r="J12" s="23">
        <f>J8*J10</f>
        <v>41.338704945899906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0.11437776013259097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173.05937869796139</v>
      </c>
      <c r="C26" s="247">
        <f>B26*'GWP N2O_CH4'!B5</f>
        <v>3634.2469526571895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36.268758135610263</v>
      </c>
      <c r="C27" s="247">
        <f>B27*'GWP N2O_CH4'!B5</f>
        <v>761.64392084781548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2.4913100089928224</v>
      </c>
      <c r="C28" s="247">
        <f>B28*'GWP N2O_CH4'!B4</f>
        <v>772.30610278777499</v>
      </c>
      <c r="D28" s="50"/>
    </row>
    <row r="29" spans="1:4">
      <c r="A29" s="41" t="s">
        <v>277</v>
      </c>
      <c r="B29" s="247">
        <f>B34*'ha_N2O bodem landbouw'!B4</f>
        <v>15.12076290440014</v>
      </c>
      <c r="C29" s="247">
        <f>B29*'GWP N2O_CH4'!B4</f>
        <v>4687.4365003640432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3.4505059863169899E-3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1.0051018138860422E-4</v>
      </c>
      <c r="C5" s="463" t="s">
        <v>211</v>
      </c>
      <c r="D5" s="448">
        <f>SUM(D6:D11)</f>
        <v>3.7828605902400891E-4</v>
      </c>
      <c r="E5" s="448">
        <f>SUM(E6:E11)</f>
        <v>4.9907381239638015E-4</v>
      </c>
      <c r="F5" s="461" t="s">
        <v>211</v>
      </c>
      <c r="G5" s="448">
        <f>SUM(G6:G11)</f>
        <v>0.19362435243493492</v>
      </c>
      <c r="H5" s="448">
        <f>SUM(H6:H11)</f>
        <v>4.2475424058320894E-2</v>
      </c>
      <c r="I5" s="463" t="s">
        <v>211</v>
      </c>
      <c r="J5" s="463" t="s">
        <v>211</v>
      </c>
      <c r="K5" s="463" t="s">
        <v>211</v>
      </c>
      <c r="L5" s="463" t="s">
        <v>211</v>
      </c>
      <c r="M5" s="448">
        <f>SUM(M6:M11)</f>
        <v>1.2573267717958605E-2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6.759381693550419E-5</v>
      </c>
      <c r="C6" s="449"/>
      <c r="D6" s="962">
        <f>vkm_2011_GW_PW*SUMIFS(TableVerdeelsleutelVkm[CNG],TableVerdeelsleutelVkm[Voertuigtype],"Lichte voertuigen")*SUMIFS(TableECFTransport[EnergieConsumptieFactor (PJ per km)],TableECFTransport[Index],CONCATENATE($A6,"_CNG_CNG"))</f>
        <v>2.0274265548445239E-4</v>
      </c>
      <c r="E6" s="962">
        <f>vkm_2011_GW_PW*SUMIFS(TableVerdeelsleutelVkm[LPG],TableVerdeelsleutelVkm[Voertuigtype],"Lichte voertuigen")*SUMIFS(TableECFTransport[EnergieConsumptieFactor (PJ per km)],TableECFTransport[Index],CONCATENATE($A6,"_LPG_LPG"))</f>
        <v>2.769755899389975E-4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7.1613190799840229E-2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2.3055610918474245E-2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4.8682540699261012E-3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5.2466035730556561E-2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1.5987784721805349E-5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3.0659409145901546E-3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3.2916364453100031E-5</v>
      </c>
      <c r="C8" s="449"/>
      <c r="D8" s="451">
        <f>vkm_2011_NGW_PW*SUMIFS(TableVerdeelsleutelVkm[CNG],TableVerdeelsleutelVkm[Voertuigtype],"Lichte voertuigen")*SUMIFS(TableECFTransport[EnergieConsumptieFactor (PJ per km)],TableECFTransport[Index],CONCATENATE($A8,"_CNG_CNG"))</f>
        <v>1.7554340353955652E-4</v>
      </c>
      <c r="E8" s="451">
        <f>vkm_2011_NGW_PW*SUMIFS(TableVerdeelsleutelVkm[LPG],TableVerdeelsleutelVkm[Voertuigtype],"Lichte voertuigen")*SUMIFS(TableECFTransport[EnergieConsumptieFactor (PJ per km)],TableECFTransport[Index],CONCATENATE($A8,"_LPG_LPG"))</f>
        <v>2.2209822245738262E-4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5.3513482684282049E-2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1.9399226300879029E-2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3.7022452286449284E-3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1.6031643220256065E-2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4.5990542458162819E-6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9.3682750479742076E-4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27.919494830167839</v>
      </c>
      <c r="C14" s="21"/>
      <c r="D14" s="21">
        <f t="shared" ref="D14:M14" si="0">((D5)*10^9/3600)+D12</f>
        <v>105.07946084000248</v>
      </c>
      <c r="E14" s="21">
        <f t="shared" si="0"/>
        <v>138.63161455455003</v>
      </c>
      <c r="F14" s="21"/>
      <c r="G14" s="21">
        <f t="shared" si="0"/>
        <v>53784.542343037479</v>
      </c>
      <c r="H14" s="21">
        <f t="shared" si="0"/>
        <v>11798.728905089138</v>
      </c>
      <c r="I14" s="21"/>
      <c r="J14" s="21"/>
      <c r="K14" s="21"/>
      <c r="L14" s="21"/>
      <c r="M14" s="21">
        <f t="shared" si="0"/>
        <v>3492.5743660996127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0.19076341083535092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5.3260180626027633</v>
      </c>
      <c r="C18" s="23"/>
      <c r="D18" s="23">
        <f t="shared" ref="D18:M18" si="1">D14*D16</f>
        <v>21.226051089680503</v>
      </c>
      <c r="E18" s="23">
        <f t="shared" si="1"/>
        <v>31.469376503882856</v>
      </c>
      <c r="F18" s="23"/>
      <c r="G18" s="23">
        <f t="shared" si="1"/>
        <v>14360.472805591007</v>
      </c>
      <c r="H18" s="23">
        <f t="shared" si="1"/>
        <v>2937.8834973671951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1.2766230607477445E-2</v>
      </c>
      <c r="H50" s="321">
        <f t="shared" si="2"/>
        <v>0</v>
      </c>
      <c r="I50" s="321">
        <f t="shared" si="2"/>
        <v>0</v>
      </c>
      <c r="J50" s="321">
        <f t="shared" si="2"/>
        <v>0</v>
      </c>
      <c r="K50" s="321">
        <f t="shared" si="2"/>
        <v>0</v>
      </c>
      <c r="L50" s="321">
        <f t="shared" si="2"/>
        <v>0</v>
      </c>
      <c r="M50" s="321">
        <f t="shared" si="2"/>
        <v>7.2506554100455918E-4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1.2766230607477445E-2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7.2506554100455918E-4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3546.175168743735</v>
      </c>
      <c r="H54" s="21">
        <f t="shared" si="3"/>
        <v>0</v>
      </c>
      <c r="I54" s="21">
        <f t="shared" si="3"/>
        <v>0</v>
      </c>
      <c r="J54" s="21">
        <f t="shared" si="3"/>
        <v>0</v>
      </c>
      <c r="K54" s="21">
        <f t="shared" si="3"/>
        <v>0</v>
      </c>
      <c r="L54" s="21">
        <f t="shared" si="3"/>
        <v>0</v>
      </c>
      <c r="M54" s="21">
        <f t="shared" si="3"/>
        <v>201.40709472348865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0.19076341083535092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946.82877005457726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5300.8663102224273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814.5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6115.3663102224273</v>
      </c>
      <c r="C9" s="594">
        <f t="shared" ref="C9:L9" si="0">SUM(C7:C8)</f>
        <v>0</v>
      </c>
      <c r="D9" s="594">
        <f t="shared" si="0"/>
        <v>0</v>
      </c>
      <c r="E9" s="594">
        <f t="shared" si="0"/>
        <v>0</v>
      </c>
      <c r="F9" s="594">
        <f t="shared" si="0"/>
        <v>0</v>
      </c>
      <c r="G9" s="594">
        <f t="shared" si="0"/>
        <v>0</v>
      </c>
      <c r="H9" s="594">
        <f t="shared" si="0"/>
        <v>0</v>
      </c>
      <c r="I9" s="594">
        <f t="shared" si="0"/>
        <v>0</v>
      </c>
      <c r="J9" s="594">
        <f t="shared" si="0"/>
        <v>2327.1428571428573</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24066</v>
      </c>
      <c r="C63" s="851">
        <v>3210</v>
      </c>
      <c r="D63" s="674" t="s">
        <v>809</v>
      </c>
      <c r="E63" s="674" t="s">
        <v>810</v>
      </c>
      <c r="F63" s="674" t="s">
        <v>811</v>
      </c>
      <c r="G63" s="674" t="s">
        <v>812</v>
      </c>
      <c r="H63" s="674" t="s">
        <v>813</v>
      </c>
      <c r="I63" s="674" t="s">
        <v>814</v>
      </c>
      <c r="J63" s="850">
        <v>34344</v>
      </c>
      <c r="K63" s="850">
        <v>37803</v>
      </c>
      <c r="L63" s="674" t="s">
        <v>815</v>
      </c>
      <c r="M63" s="674">
        <v>181</v>
      </c>
      <c r="N63" s="674">
        <v>814.5</v>
      </c>
      <c r="O63" s="674">
        <v>0</v>
      </c>
      <c r="P63" s="674">
        <v>0</v>
      </c>
      <c r="Q63" s="674">
        <v>0</v>
      </c>
      <c r="R63" s="674">
        <v>2327.1428571428573</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181</v>
      </c>
      <c r="N88" s="629">
        <f t="shared" ref="N88:W88" si="5">SUM(N63:N87)</f>
        <v>814.5</v>
      </c>
      <c r="O88" s="629">
        <f t="shared" si="5"/>
        <v>0</v>
      </c>
      <c r="P88" s="629">
        <f t="shared" si="5"/>
        <v>0</v>
      </c>
      <c r="Q88" s="629">
        <f t="shared" si="5"/>
        <v>0</v>
      </c>
      <c r="R88" s="629">
        <f t="shared" si="5"/>
        <v>2327.1428571428573</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181</v>
      </c>
      <c r="N90" s="629">
        <f t="shared" ref="N90:W90" si="7">SUMIF($Z$63:$Z$88,"tertiair",N63:N88)</f>
        <v>814.5</v>
      </c>
      <c r="O90" s="629">
        <f t="shared" si="7"/>
        <v>0</v>
      </c>
      <c r="P90" s="629">
        <f t="shared" si="7"/>
        <v>0</v>
      </c>
      <c r="Q90" s="629">
        <f t="shared" si="7"/>
        <v>0</v>
      </c>
      <c r="R90" s="629">
        <f t="shared" si="7"/>
        <v>2327.1428571428573</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16116.420150000002</v>
      </c>
      <c r="D10" s="718">
        <f ca="1">tertiair!C16</f>
        <v>0</v>
      </c>
      <c r="E10" s="718">
        <f ca="1">tertiair!D16</f>
        <v>6943.6202187000008</v>
      </c>
      <c r="F10" s="718">
        <f>tertiair!E16</f>
        <v>170.07803276482247</v>
      </c>
      <c r="G10" s="718">
        <f ca="1">tertiair!F16</f>
        <v>2387.8267324235126</v>
      </c>
      <c r="H10" s="718">
        <f>tertiair!G16</f>
        <v>0</v>
      </c>
      <c r="I10" s="718">
        <f>tertiair!H16</f>
        <v>0</v>
      </c>
      <c r="J10" s="718">
        <f>tertiair!I16</f>
        <v>0</v>
      </c>
      <c r="K10" s="718">
        <f>tertiair!J16</f>
        <v>1.2435009560918328E-2</v>
      </c>
      <c r="L10" s="718">
        <f>tertiair!K16</f>
        <v>0</v>
      </c>
      <c r="M10" s="718">
        <f ca="1">tertiair!L16</f>
        <v>0</v>
      </c>
      <c r="N10" s="718">
        <f>tertiair!M16</f>
        <v>0</v>
      </c>
      <c r="O10" s="718">
        <f ca="1">tertiair!N16</f>
        <v>0</v>
      </c>
      <c r="P10" s="718">
        <f>tertiair!O16</f>
        <v>4.6900000000000004</v>
      </c>
      <c r="Q10" s="719">
        <f>tertiair!P16</f>
        <v>38.133333333333333</v>
      </c>
      <c r="R10" s="721">
        <f ca="1">SUM(C10:Q10)</f>
        <v>25660.780902231232</v>
      </c>
      <c r="S10" s="67"/>
    </row>
    <row r="11" spans="1:19" s="474" customFormat="1">
      <c r="A11" s="870" t="s">
        <v>225</v>
      </c>
      <c r="B11" s="875"/>
      <c r="C11" s="718">
        <f>huishoudens!B8</f>
        <v>26295.57930815277</v>
      </c>
      <c r="D11" s="718">
        <f>huishoudens!C8</f>
        <v>0</v>
      </c>
      <c r="E11" s="718">
        <f>huishoudens!D8</f>
        <v>31414.558340000007</v>
      </c>
      <c r="F11" s="718">
        <f>huishoudens!E8</f>
        <v>3793.9706635034181</v>
      </c>
      <c r="G11" s="718">
        <f>huishoudens!F8</f>
        <v>57997.528562938438</v>
      </c>
      <c r="H11" s="718">
        <f>huishoudens!G8</f>
        <v>0</v>
      </c>
      <c r="I11" s="718">
        <f>huishoudens!H8</f>
        <v>0</v>
      </c>
      <c r="J11" s="718">
        <f>huishoudens!I8</f>
        <v>0</v>
      </c>
      <c r="K11" s="718">
        <f>huishoudens!J8</f>
        <v>0</v>
      </c>
      <c r="L11" s="718">
        <f>huishoudens!K8</f>
        <v>0</v>
      </c>
      <c r="M11" s="718">
        <f>huishoudens!L8</f>
        <v>0</v>
      </c>
      <c r="N11" s="718">
        <f>huishoudens!M8</f>
        <v>0</v>
      </c>
      <c r="O11" s="718">
        <f>huishoudens!N8</f>
        <v>8311.9153238895833</v>
      </c>
      <c r="P11" s="718">
        <f>huishoudens!O8</f>
        <v>353.31333333333333</v>
      </c>
      <c r="Q11" s="719">
        <f>huishoudens!P8</f>
        <v>1182.1333333333332</v>
      </c>
      <c r="R11" s="721">
        <f>SUM(C11:Q11)</f>
        <v>129348.99886515089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1451.4221</v>
      </c>
      <c r="D13" s="718">
        <f>industrie!C18</f>
        <v>0</v>
      </c>
      <c r="E13" s="718">
        <f>industrie!D18</f>
        <v>581.62953419999997</v>
      </c>
      <c r="F13" s="718">
        <f>industrie!E18</f>
        <v>182.4614932931872</v>
      </c>
      <c r="G13" s="718">
        <f>industrie!F18</f>
        <v>636.54707007002753</v>
      </c>
      <c r="H13" s="718">
        <f>industrie!G18</f>
        <v>0</v>
      </c>
      <c r="I13" s="718">
        <f>industrie!H18</f>
        <v>0</v>
      </c>
      <c r="J13" s="718">
        <f>industrie!I18</f>
        <v>0</v>
      </c>
      <c r="K13" s="718">
        <f>industrie!J18</f>
        <v>0.71410987730687692</v>
      </c>
      <c r="L13" s="718">
        <f>industrie!K18</f>
        <v>0</v>
      </c>
      <c r="M13" s="718">
        <f>industrie!L18</f>
        <v>0</v>
      </c>
      <c r="N13" s="718">
        <f>industrie!M18</f>
        <v>0</v>
      </c>
      <c r="O13" s="718">
        <f>industrie!N18</f>
        <v>597.80401645037796</v>
      </c>
      <c r="P13" s="718">
        <f>industrie!O18</f>
        <v>0</v>
      </c>
      <c r="Q13" s="719">
        <f>industrie!P18</f>
        <v>0</v>
      </c>
      <c r="R13" s="721">
        <f>SUM(C13:Q13)</f>
        <v>3450.5783238908998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43863.421558152775</v>
      </c>
      <c r="D15" s="723">
        <f t="shared" ref="D15:Q15" ca="1" si="0">SUM(D9:D14)</f>
        <v>0</v>
      </c>
      <c r="E15" s="723">
        <f t="shared" ca="1" si="0"/>
        <v>38939.808092900006</v>
      </c>
      <c r="F15" s="723">
        <f t="shared" si="0"/>
        <v>4146.510189561428</v>
      </c>
      <c r="G15" s="723">
        <f t="shared" ca="1" si="0"/>
        <v>61021.902365431975</v>
      </c>
      <c r="H15" s="723">
        <f t="shared" si="0"/>
        <v>0</v>
      </c>
      <c r="I15" s="723">
        <f t="shared" si="0"/>
        <v>0</v>
      </c>
      <c r="J15" s="723">
        <f t="shared" si="0"/>
        <v>0</v>
      </c>
      <c r="K15" s="723">
        <f t="shared" si="0"/>
        <v>0.72654488686779528</v>
      </c>
      <c r="L15" s="723">
        <f t="shared" si="0"/>
        <v>0</v>
      </c>
      <c r="M15" s="723">
        <f t="shared" ca="1" si="0"/>
        <v>0</v>
      </c>
      <c r="N15" s="723">
        <f t="shared" si="0"/>
        <v>0</v>
      </c>
      <c r="O15" s="723">
        <f t="shared" ca="1" si="0"/>
        <v>8909.7193403399615</v>
      </c>
      <c r="P15" s="723">
        <f t="shared" si="0"/>
        <v>358.00333333333333</v>
      </c>
      <c r="Q15" s="724">
        <f t="shared" si="0"/>
        <v>1220.2666666666667</v>
      </c>
      <c r="R15" s="725">
        <f ca="1">SUM(R9:R14)</f>
        <v>158460.35809127302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3546.175168743735</v>
      </c>
      <c r="I18" s="718">
        <f>transport!H54</f>
        <v>0</v>
      </c>
      <c r="J18" s="718">
        <f>transport!I54</f>
        <v>0</v>
      </c>
      <c r="K18" s="718">
        <f>transport!J54</f>
        <v>0</v>
      </c>
      <c r="L18" s="718">
        <f>transport!K54</f>
        <v>0</v>
      </c>
      <c r="M18" s="718">
        <f>transport!L54</f>
        <v>0</v>
      </c>
      <c r="N18" s="718">
        <f>transport!M54</f>
        <v>201.40709472348865</v>
      </c>
      <c r="O18" s="718">
        <f>transport!N54</f>
        <v>0</v>
      </c>
      <c r="P18" s="718">
        <f>transport!O54</f>
        <v>0</v>
      </c>
      <c r="Q18" s="719">
        <f>transport!P54</f>
        <v>0</v>
      </c>
      <c r="R18" s="721">
        <f>SUM(C18:Q18)</f>
        <v>3747.5822634672236</v>
      </c>
      <c r="S18" s="67"/>
    </row>
    <row r="19" spans="1:19" s="474" customFormat="1" ht="15" thickBot="1">
      <c r="A19" s="870" t="s">
        <v>307</v>
      </c>
      <c r="B19" s="875"/>
      <c r="C19" s="727">
        <f>transport!B14</f>
        <v>27.919494830167839</v>
      </c>
      <c r="D19" s="727">
        <f>transport!C14</f>
        <v>0</v>
      </c>
      <c r="E19" s="727">
        <f>transport!D14</f>
        <v>105.07946084000248</v>
      </c>
      <c r="F19" s="727">
        <f>transport!E14</f>
        <v>138.63161455455003</v>
      </c>
      <c r="G19" s="727">
        <f>transport!F14</f>
        <v>0</v>
      </c>
      <c r="H19" s="727">
        <f>transport!G14</f>
        <v>53784.542343037479</v>
      </c>
      <c r="I19" s="727">
        <f>transport!H14</f>
        <v>11798.728905089138</v>
      </c>
      <c r="J19" s="727">
        <f>transport!I14</f>
        <v>0</v>
      </c>
      <c r="K19" s="727">
        <f>transport!J14</f>
        <v>0</v>
      </c>
      <c r="L19" s="727">
        <f>transport!K14</f>
        <v>0</v>
      </c>
      <c r="M19" s="727">
        <f>transport!L14</f>
        <v>0</v>
      </c>
      <c r="N19" s="727">
        <f>transport!M14</f>
        <v>3492.5743660996127</v>
      </c>
      <c r="O19" s="727">
        <f>transport!N14</f>
        <v>0</v>
      </c>
      <c r="P19" s="727">
        <f>transport!O14</f>
        <v>0</v>
      </c>
      <c r="Q19" s="728">
        <f>transport!P14</f>
        <v>0</v>
      </c>
      <c r="R19" s="729">
        <f>SUM(C19:Q19)</f>
        <v>69347.476184450948</v>
      </c>
      <c r="S19" s="67"/>
    </row>
    <row r="20" spans="1:19" s="474" customFormat="1" ht="15.75" thickBot="1">
      <c r="A20" s="730" t="s">
        <v>230</v>
      </c>
      <c r="B20" s="878"/>
      <c r="C20" s="873">
        <f>SUM(C17:C19)</f>
        <v>27.919494830167839</v>
      </c>
      <c r="D20" s="731">
        <f t="shared" ref="D20:R20" si="1">SUM(D17:D19)</f>
        <v>0</v>
      </c>
      <c r="E20" s="731">
        <f t="shared" si="1"/>
        <v>105.07946084000248</v>
      </c>
      <c r="F20" s="731">
        <f t="shared" si="1"/>
        <v>138.63161455455003</v>
      </c>
      <c r="G20" s="731">
        <f t="shared" si="1"/>
        <v>0</v>
      </c>
      <c r="H20" s="731">
        <f t="shared" si="1"/>
        <v>57330.717511781215</v>
      </c>
      <c r="I20" s="731">
        <f t="shared" si="1"/>
        <v>11798.728905089138</v>
      </c>
      <c r="J20" s="731">
        <f t="shared" si="1"/>
        <v>0</v>
      </c>
      <c r="K20" s="731">
        <f t="shared" si="1"/>
        <v>0</v>
      </c>
      <c r="L20" s="731">
        <f t="shared" si="1"/>
        <v>0</v>
      </c>
      <c r="M20" s="731">
        <f t="shared" si="1"/>
        <v>0</v>
      </c>
      <c r="N20" s="731">
        <f t="shared" si="1"/>
        <v>3693.9814608231013</v>
      </c>
      <c r="O20" s="731">
        <f t="shared" si="1"/>
        <v>0</v>
      </c>
      <c r="P20" s="731">
        <f t="shared" si="1"/>
        <v>0</v>
      </c>
      <c r="Q20" s="732">
        <f t="shared" si="1"/>
        <v>0</v>
      </c>
      <c r="R20" s="733">
        <f t="shared" si="1"/>
        <v>73095.058447918171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806.02700000000004</v>
      </c>
      <c r="D22" s="727">
        <f>+landbouw!C8</f>
        <v>0</v>
      </c>
      <c r="E22" s="727">
        <f>+landbouw!D8</f>
        <v>131.38441799999998</v>
      </c>
      <c r="F22" s="727">
        <f>+landbouw!E8</f>
        <v>23.691595420613108</v>
      </c>
      <c r="G22" s="727">
        <f>+landbouw!F8</f>
        <v>3357.8649265870422</v>
      </c>
      <c r="H22" s="727">
        <f>+landbouw!G8</f>
        <v>0</v>
      </c>
      <c r="I22" s="727">
        <f>+landbouw!H8</f>
        <v>0</v>
      </c>
      <c r="J22" s="727">
        <f>+landbouw!I8</f>
        <v>0</v>
      </c>
      <c r="K22" s="727">
        <f>+landbouw!J8</f>
        <v>116.77600267203364</v>
      </c>
      <c r="L22" s="727">
        <f>+landbouw!K8</f>
        <v>0</v>
      </c>
      <c r="M22" s="727">
        <f>+landbouw!L8</f>
        <v>0</v>
      </c>
      <c r="N22" s="727">
        <f>+landbouw!M8</f>
        <v>0</v>
      </c>
      <c r="O22" s="727">
        <f>+landbouw!N8</f>
        <v>0</v>
      </c>
      <c r="P22" s="727">
        <f>+landbouw!O8</f>
        <v>0</v>
      </c>
      <c r="Q22" s="728">
        <f>+landbouw!P8</f>
        <v>0</v>
      </c>
      <c r="R22" s="729">
        <f>SUM(C22:Q22)</f>
        <v>4435.7439426796891</v>
      </c>
      <c r="S22" s="67"/>
    </row>
    <row r="23" spans="1:19" s="474" customFormat="1" ht="17.25" thickTop="1" thickBot="1">
      <c r="A23" s="734" t="s">
        <v>116</v>
      </c>
      <c r="B23" s="864"/>
      <c r="C23" s="735">
        <f ca="1">C20+C15+C22</f>
        <v>44697.368052982943</v>
      </c>
      <c r="D23" s="735">
        <f t="shared" ref="D23:Q23" ca="1" si="2">D20+D15+D22</f>
        <v>0</v>
      </c>
      <c r="E23" s="735">
        <f t="shared" ca="1" si="2"/>
        <v>39176.27197174001</v>
      </c>
      <c r="F23" s="735">
        <f t="shared" si="2"/>
        <v>4308.8333995365911</v>
      </c>
      <c r="G23" s="735">
        <f t="shared" ca="1" si="2"/>
        <v>64379.767292019016</v>
      </c>
      <c r="H23" s="735">
        <f t="shared" si="2"/>
        <v>57330.717511781215</v>
      </c>
      <c r="I23" s="735">
        <f t="shared" si="2"/>
        <v>11798.728905089138</v>
      </c>
      <c r="J23" s="735">
        <f t="shared" si="2"/>
        <v>0</v>
      </c>
      <c r="K23" s="735">
        <f t="shared" si="2"/>
        <v>117.50254755890144</v>
      </c>
      <c r="L23" s="735">
        <f t="shared" si="2"/>
        <v>0</v>
      </c>
      <c r="M23" s="735">
        <f t="shared" ca="1" si="2"/>
        <v>0</v>
      </c>
      <c r="N23" s="735">
        <f t="shared" si="2"/>
        <v>3693.9814608231013</v>
      </c>
      <c r="O23" s="735">
        <f t="shared" ca="1" si="2"/>
        <v>8909.7193403399615</v>
      </c>
      <c r="P23" s="735">
        <f t="shared" si="2"/>
        <v>358.00333333333333</v>
      </c>
      <c r="Q23" s="736">
        <f t="shared" si="2"/>
        <v>1220.2666666666667</v>
      </c>
      <c r="R23" s="737">
        <f ca="1">R20+R15+R22</f>
        <v>235991.1604818709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3074.4232782695781</v>
      </c>
      <c r="D36" s="718">
        <f ca="1">tertiair!C20</f>
        <v>0</v>
      </c>
      <c r="E36" s="718">
        <f ca="1">tertiair!D20</f>
        <v>1402.6112841774002</v>
      </c>
      <c r="F36" s="718">
        <f>tertiair!E20</f>
        <v>38.607713437614699</v>
      </c>
      <c r="G36" s="718">
        <f ca="1">tertiair!F20</f>
        <v>637.54973755707795</v>
      </c>
      <c r="H36" s="718">
        <f>tertiair!G20</f>
        <v>0</v>
      </c>
      <c r="I36" s="718">
        <f>tertiair!H20</f>
        <v>0</v>
      </c>
      <c r="J36" s="718">
        <f>tertiair!I20</f>
        <v>0</v>
      </c>
      <c r="K36" s="718">
        <f>tertiair!J20</f>
        <v>4.401993384565088E-3</v>
      </c>
      <c r="L36" s="718">
        <f>tertiair!K20</f>
        <v>0</v>
      </c>
      <c r="M36" s="718">
        <f ca="1">tertiair!L20</f>
        <v>0</v>
      </c>
      <c r="N36" s="718">
        <f>tertiair!M20</f>
        <v>0</v>
      </c>
      <c r="O36" s="718">
        <f ca="1">tertiair!N20</f>
        <v>0</v>
      </c>
      <c r="P36" s="718">
        <f>tertiair!O20</f>
        <v>0</v>
      </c>
      <c r="Q36" s="828">
        <f>tertiair!P20</f>
        <v>0</v>
      </c>
      <c r="R36" s="917">
        <f ca="1">SUM(C36:Q36)</f>
        <v>5153.1964154350553</v>
      </c>
    </row>
    <row r="37" spans="1:18">
      <c r="A37" s="885" t="s">
        <v>225</v>
      </c>
      <c r="B37" s="892"/>
      <c r="C37" s="718">
        <f ca="1">huishoudens!B12</f>
        <v>5016.2343987146996</v>
      </c>
      <c r="D37" s="718">
        <f ca="1">huishoudens!C12</f>
        <v>0</v>
      </c>
      <c r="E37" s="718">
        <f>huishoudens!D12</f>
        <v>6345.7407846800015</v>
      </c>
      <c r="F37" s="718">
        <f>huishoudens!E12</f>
        <v>861.23134061527594</v>
      </c>
      <c r="G37" s="718">
        <f>huishoudens!F12</f>
        <v>15485.340126304563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27708.54665031454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276.87823035780781</v>
      </c>
      <c r="D39" s="718">
        <f ca="1">industrie!C22</f>
        <v>0</v>
      </c>
      <c r="E39" s="718">
        <f>industrie!D22</f>
        <v>117.4891659084</v>
      </c>
      <c r="F39" s="718">
        <f>industrie!E22</f>
        <v>41.418758977553495</v>
      </c>
      <c r="G39" s="718">
        <f>industrie!F22</f>
        <v>169.95806770869737</v>
      </c>
      <c r="H39" s="718">
        <f>industrie!G22</f>
        <v>0</v>
      </c>
      <c r="I39" s="718">
        <f>industrie!H22</f>
        <v>0</v>
      </c>
      <c r="J39" s="718">
        <f>industrie!I22</f>
        <v>0</v>
      </c>
      <c r="K39" s="718">
        <f>industrie!J22</f>
        <v>0.2527948965666344</v>
      </c>
      <c r="L39" s="718">
        <f>industrie!K22</f>
        <v>0</v>
      </c>
      <c r="M39" s="718">
        <f>industrie!L22</f>
        <v>0</v>
      </c>
      <c r="N39" s="718">
        <f>industrie!M22</f>
        <v>0</v>
      </c>
      <c r="O39" s="718">
        <f>industrie!N22</f>
        <v>0</v>
      </c>
      <c r="P39" s="718">
        <f>industrie!O22</f>
        <v>0</v>
      </c>
      <c r="Q39" s="828">
        <f>industrie!P22</f>
        <v>0</v>
      </c>
      <c r="R39" s="918">
        <f ca="1">SUM(C39:Q39)</f>
        <v>605.99701784902538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8367.5359073420859</v>
      </c>
      <c r="D41" s="763">
        <f t="shared" ref="D41:R41" ca="1" si="4">SUM(D35:D40)</f>
        <v>0</v>
      </c>
      <c r="E41" s="763">
        <f t="shared" ca="1" si="4"/>
        <v>7865.8412347658013</v>
      </c>
      <c r="F41" s="763">
        <f t="shared" si="4"/>
        <v>941.25781303044414</v>
      </c>
      <c r="G41" s="763">
        <f t="shared" ca="1" si="4"/>
        <v>16292.847931570339</v>
      </c>
      <c r="H41" s="763">
        <f t="shared" si="4"/>
        <v>0</v>
      </c>
      <c r="I41" s="763">
        <f t="shared" si="4"/>
        <v>0</v>
      </c>
      <c r="J41" s="763">
        <f t="shared" si="4"/>
        <v>0</v>
      </c>
      <c r="K41" s="763">
        <f t="shared" si="4"/>
        <v>0.25719688995119949</v>
      </c>
      <c r="L41" s="763">
        <f t="shared" si="4"/>
        <v>0</v>
      </c>
      <c r="M41" s="763">
        <f t="shared" ca="1" si="4"/>
        <v>0</v>
      </c>
      <c r="N41" s="763">
        <f t="shared" si="4"/>
        <v>0</v>
      </c>
      <c r="O41" s="763">
        <f t="shared" ca="1" si="4"/>
        <v>0</v>
      </c>
      <c r="P41" s="763">
        <f t="shared" si="4"/>
        <v>0</v>
      </c>
      <c r="Q41" s="764">
        <f t="shared" si="4"/>
        <v>0</v>
      </c>
      <c r="R41" s="765">
        <f t="shared" ca="1" si="4"/>
        <v>33467.740083598619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946.82877005457726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946.82877005457726</v>
      </c>
    </row>
    <row r="45" spans="1:18" ht="15" thickBot="1">
      <c r="A45" s="888" t="s">
        <v>307</v>
      </c>
      <c r="B45" s="898"/>
      <c r="C45" s="727">
        <f ca="1">transport!B18</f>
        <v>5.3260180626027633</v>
      </c>
      <c r="D45" s="727">
        <f>transport!C18</f>
        <v>0</v>
      </c>
      <c r="E45" s="727">
        <f>transport!D18</f>
        <v>21.226051089680503</v>
      </c>
      <c r="F45" s="727">
        <f>transport!E18</f>
        <v>31.469376503882856</v>
      </c>
      <c r="G45" s="727">
        <f>transport!F18</f>
        <v>0</v>
      </c>
      <c r="H45" s="727">
        <f>transport!G18</f>
        <v>14360.472805591007</v>
      </c>
      <c r="I45" s="727">
        <f>transport!H18</f>
        <v>2937.8834973671951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17356.37774861437</v>
      </c>
    </row>
    <row r="46" spans="1:18" ht="15.75" thickBot="1">
      <c r="A46" s="886" t="s">
        <v>230</v>
      </c>
      <c r="B46" s="899"/>
      <c r="C46" s="763">
        <f t="shared" ref="C46:R46" ca="1" si="5">SUM(C43:C45)</f>
        <v>5.3260180626027633</v>
      </c>
      <c r="D46" s="763">
        <f t="shared" ca="1" si="5"/>
        <v>0</v>
      </c>
      <c r="E46" s="763">
        <f t="shared" si="5"/>
        <v>21.226051089680503</v>
      </c>
      <c r="F46" s="763">
        <f t="shared" si="5"/>
        <v>31.469376503882856</v>
      </c>
      <c r="G46" s="763">
        <f t="shared" si="5"/>
        <v>0</v>
      </c>
      <c r="H46" s="763">
        <f t="shared" si="5"/>
        <v>15307.301575645584</v>
      </c>
      <c r="I46" s="763">
        <f t="shared" si="5"/>
        <v>2937.8834973671951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18303.206518668947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153.76045974538542</v>
      </c>
      <c r="D48" s="718">
        <f ca="1">+landbouw!C12</f>
        <v>0</v>
      </c>
      <c r="E48" s="718">
        <f>+landbouw!D12</f>
        <v>26.539652435999997</v>
      </c>
      <c r="F48" s="718">
        <f>+landbouw!E12</f>
        <v>5.3779921604791756</v>
      </c>
      <c r="G48" s="718">
        <f>+landbouw!F12</f>
        <v>896.54993539874033</v>
      </c>
      <c r="H48" s="718">
        <f>+landbouw!G12</f>
        <v>0</v>
      </c>
      <c r="I48" s="718">
        <f>+landbouw!H12</f>
        <v>0</v>
      </c>
      <c r="J48" s="718">
        <f>+landbouw!I12</f>
        <v>0</v>
      </c>
      <c r="K48" s="718">
        <f>+landbouw!J12</f>
        <v>41.338704945899906</v>
      </c>
      <c r="L48" s="718">
        <f>+landbouw!K12</f>
        <v>0</v>
      </c>
      <c r="M48" s="718">
        <f>+landbouw!L12</f>
        <v>0</v>
      </c>
      <c r="N48" s="718">
        <f>+landbouw!M12</f>
        <v>0</v>
      </c>
      <c r="O48" s="718">
        <f>+landbouw!N12</f>
        <v>0</v>
      </c>
      <c r="P48" s="718">
        <f>+landbouw!O12</f>
        <v>0</v>
      </c>
      <c r="Q48" s="719">
        <f>+landbouw!P12</f>
        <v>0</v>
      </c>
      <c r="R48" s="761">
        <f ca="1">SUM(C48:Q48)</f>
        <v>1123.566744686505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8526.6223851500727</v>
      </c>
      <c r="D53" s="773">
        <f t="shared" ref="D53:Q53" ca="1" si="6">D41+D46+D48</f>
        <v>0</v>
      </c>
      <c r="E53" s="773">
        <f t="shared" ca="1" si="6"/>
        <v>7913.606938291482</v>
      </c>
      <c r="F53" s="773">
        <f t="shared" si="6"/>
        <v>978.10518169480611</v>
      </c>
      <c r="G53" s="773">
        <f t="shared" ca="1" si="6"/>
        <v>17189.39786696908</v>
      </c>
      <c r="H53" s="773">
        <f t="shared" si="6"/>
        <v>15307.301575645584</v>
      </c>
      <c r="I53" s="773">
        <f t="shared" si="6"/>
        <v>2937.8834973671951</v>
      </c>
      <c r="J53" s="773">
        <f t="shared" si="6"/>
        <v>0</v>
      </c>
      <c r="K53" s="773">
        <f t="shared" si="6"/>
        <v>41.595901835851109</v>
      </c>
      <c r="L53" s="773">
        <f t="shared" si="6"/>
        <v>0</v>
      </c>
      <c r="M53" s="773">
        <f t="shared" ca="1" si="6"/>
        <v>0</v>
      </c>
      <c r="N53" s="773">
        <f t="shared" si="6"/>
        <v>0</v>
      </c>
      <c r="O53" s="773">
        <f t="shared" ca="1" si="6"/>
        <v>0</v>
      </c>
      <c r="P53" s="773">
        <f>P41+P46+P48</f>
        <v>0</v>
      </c>
      <c r="Q53" s="774">
        <f t="shared" si="6"/>
        <v>0</v>
      </c>
      <c r="R53" s="775">
        <f ca="1">R41+R46+R48</f>
        <v>52894.513346954067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0.19076341083535087</v>
      </c>
      <c r="D55" s="836">
        <f t="shared" ca="1" si="7"/>
        <v>0</v>
      </c>
      <c r="E55" s="836">
        <f t="shared" ca="1" si="7"/>
        <v>0.20199999999999999</v>
      </c>
      <c r="F55" s="836">
        <f t="shared" si="7"/>
        <v>0.22699999999999998</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5300.8663102224273</v>
      </c>
      <c r="C66" s="795">
        <f>'lokale energieproductie'!B6</f>
        <v>5300.8663102224273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814.5</v>
      </c>
      <c r="C68" s="794">
        <f>B68*IFERROR(SUM(J68:L68)/SUM(D68:M68),0)</f>
        <v>814.5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2327.1428571428573</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6115.3663102224273</v>
      </c>
      <c r="C69" s="803">
        <f>SUM(C64:C68)</f>
        <v>6115.3663102224273</v>
      </c>
      <c r="D69" s="804">
        <f t="shared" ref="D69:M69" si="8">SUM(D67:D68)</f>
        <v>0</v>
      </c>
      <c r="E69" s="804">
        <f t="shared" si="8"/>
        <v>0</v>
      </c>
      <c r="F69" s="804">
        <f t="shared" si="8"/>
        <v>0</v>
      </c>
      <c r="G69" s="804">
        <f t="shared" si="8"/>
        <v>0</v>
      </c>
      <c r="H69" s="804">
        <f t="shared" si="8"/>
        <v>0</v>
      </c>
      <c r="I69" s="804">
        <f t="shared" si="8"/>
        <v>0</v>
      </c>
      <c r="J69" s="804">
        <f t="shared" si="8"/>
        <v>0</v>
      </c>
      <c r="K69" s="804">
        <f t="shared" si="8"/>
        <v>2327.1428571428573</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26295.57930815277</v>
      </c>
      <c r="C4" s="478">
        <f>huishoudens!C8</f>
        <v>0</v>
      </c>
      <c r="D4" s="478">
        <f>huishoudens!D8</f>
        <v>31414.558340000007</v>
      </c>
      <c r="E4" s="478">
        <f>huishoudens!E8</f>
        <v>3793.9706635034181</v>
      </c>
      <c r="F4" s="478">
        <f>huishoudens!F8</f>
        <v>57997.528562938438</v>
      </c>
      <c r="G4" s="478">
        <f>huishoudens!G8</f>
        <v>0</v>
      </c>
      <c r="H4" s="478">
        <f>huishoudens!H8</f>
        <v>0</v>
      </c>
      <c r="I4" s="478">
        <f>huishoudens!I8</f>
        <v>0</v>
      </c>
      <c r="J4" s="478">
        <f>huishoudens!J8</f>
        <v>0</v>
      </c>
      <c r="K4" s="478">
        <f>huishoudens!K8</f>
        <v>0</v>
      </c>
      <c r="L4" s="478">
        <f>huishoudens!L8</f>
        <v>0</v>
      </c>
      <c r="M4" s="478">
        <f>huishoudens!M8</f>
        <v>0</v>
      </c>
      <c r="N4" s="478">
        <f>huishoudens!N8</f>
        <v>8311.9153238895833</v>
      </c>
      <c r="O4" s="478">
        <f>huishoudens!O8</f>
        <v>353.31333333333333</v>
      </c>
      <c r="P4" s="479">
        <f>huishoudens!P8</f>
        <v>1182.1333333333332</v>
      </c>
      <c r="Q4" s="480">
        <f>SUM(B4:P4)</f>
        <v>129348.99886515089</v>
      </c>
    </row>
    <row r="5" spans="1:17">
      <c r="A5" s="477" t="s">
        <v>156</v>
      </c>
      <c r="B5" s="478">
        <f ca="1">tertiair!B16</f>
        <v>15231.382150000001</v>
      </c>
      <c r="C5" s="478">
        <f ca="1">tertiair!C16</f>
        <v>0</v>
      </c>
      <c r="D5" s="478">
        <f ca="1">tertiair!D16</f>
        <v>6943.6202187000008</v>
      </c>
      <c r="E5" s="478">
        <f>tertiair!E16</f>
        <v>170.07803276482247</v>
      </c>
      <c r="F5" s="478">
        <f ca="1">tertiair!F16</f>
        <v>2387.8267324235126</v>
      </c>
      <c r="G5" s="478">
        <f>tertiair!G16</f>
        <v>0</v>
      </c>
      <c r="H5" s="478">
        <f>tertiair!H16</f>
        <v>0</v>
      </c>
      <c r="I5" s="478">
        <f>tertiair!I16</f>
        <v>0</v>
      </c>
      <c r="J5" s="478">
        <f>tertiair!J16</f>
        <v>1.2435009560918328E-2</v>
      </c>
      <c r="K5" s="478">
        <f>tertiair!K16</f>
        <v>0</v>
      </c>
      <c r="L5" s="478">
        <f ca="1">tertiair!L16</f>
        <v>0</v>
      </c>
      <c r="M5" s="478">
        <f>tertiair!M16</f>
        <v>0</v>
      </c>
      <c r="N5" s="478">
        <f ca="1">tertiair!N16</f>
        <v>0</v>
      </c>
      <c r="O5" s="478">
        <f>tertiair!O16</f>
        <v>4.6900000000000004</v>
      </c>
      <c r="P5" s="479">
        <f>tertiair!P16</f>
        <v>38.133333333333333</v>
      </c>
      <c r="Q5" s="477">
        <f t="shared" ref="Q5:Q13" ca="1" si="0">SUM(B5:P5)</f>
        <v>24775.742902231232</v>
      </c>
    </row>
    <row r="6" spans="1:17">
      <c r="A6" s="477" t="s">
        <v>194</v>
      </c>
      <c r="B6" s="478">
        <f>'openbare verlichting'!B8</f>
        <v>885.03800000000001</v>
      </c>
      <c r="C6" s="478"/>
      <c r="D6" s="478"/>
      <c r="E6" s="478"/>
      <c r="F6" s="478"/>
      <c r="G6" s="478"/>
      <c r="H6" s="478"/>
      <c r="I6" s="478"/>
      <c r="J6" s="478"/>
      <c r="K6" s="478"/>
      <c r="L6" s="478"/>
      <c r="M6" s="478"/>
      <c r="N6" s="478"/>
      <c r="O6" s="478"/>
      <c r="P6" s="479"/>
      <c r="Q6" s="477">
        <f t="shared" si="0"/>
        <v>885.03800000000001</v>
      </c>
    </row>
    <row r="7" spans="1:17">
      <c r="A7" s="477" t="s">
        <v>112</v>
      </c>
      <c r="B7" s="478">
        <f>landbouw!B8</f>
        <v>806.02700000000004</v>
      </c>
      <c r="C7" s="478">
        <f>landbouw!C8</f>
        <v>0</v>
      </c>
      <c r="D7" s="478">
        <f>landbouw!D8</f>
        <v>131.38441799999998</v>
      </c>
      <c r="E7" s="478">
        <f>landbouw!E8</f>
        <v>23.691595420613108</v>
      </c>
      <c r="F7" s="478">
        <f>landbouw!F8</f>
        <v>3357.8649265870422</v>
      </c>
      <c r="G7" s="478">
        <f>landbouw!G8</f>
        <v>0</v>
      </c>
      <c r="H7" s="478">
        <f>landbouw!H8</f>
        <v>0</v>
      </c>
      <c r="I7" s="478">
        <f>landbouw!I8</f>
        <v>0</v>
      </c>
      <c r="J7" s="478">
        <f>landbouw!J8</f>
        <v>116.77600267203364</v>
      </c>
      <c r="K7" s="478">
        <f>landbouw!K8</f>
        <v>0</v>
      </c>
      <c r="L7" s="478">
        <f>landbouw!L8</f>
        <v>0</v>
      </c>
      <c r="M7" s="478">
        <f>landbouw!M8</f>
        <v>0</v>
      </c>
      <c r="N7" s="478">
        <f>landbouw!N8</f>
        <v>0</v>
      </c>
      <c r="O7" s="478">
        <f>landbouw!O8</f>
        <v>0</v>
      </c>
      <c r="P7" s="479">
        <f>landbouw!P8</f>
        <v>0</v>
      </c>
      <c r="Q7" s="477">
        <f t="shared" si="0"/>
        <v>4435.7439426796891</v>
      </c>
    </row>
    <row r="8" spans="1:17">
      <c r="A8" s="477" t="s">
        <v>635</v>
      </c>
      <c r="B8" s="478">
        <f>industrie!B18</f>
        <v>1451.4221</v>
      </c>
      <c r="C8" s="478">
        <f>industrie!C18</f>
        <v>0</v>
      </c>
      <c r="D8" s="478">
        <f>industrie!D18</f>
        <v>581.62953419999997</v>
      </c>
      <c r="E8" s="478">
        <f>industrie!E18</f>
        <v>182.4614932931872</v>
      </c>
      <c r="F8" s="478">
        <f>industrie!F18</f>
        <v>636.54707007002753</v>
      </c>
      <c r="G8" s="478">
        <f>industrie!G18</f>
        <v>0</v>
      </c>
      <c r="H8" s="478">
        <f>industrie!H18</f>
        <v>0</v>
      </c>
      <c r="I8" s="478">
        <f>industrie!I18</f>
        <v>0</v>
      </c>
      <c r="J8" s="478">
        <f>industrie!J18</f>
        <v>0.71410987730687692</v>
      </c>
      <c r="K8" s="478">
        <f>industrie!K18</f>
        <v>0</v>
      </c>
      <c r="L8" s="478">
        <f>industrie!L18</f>
        <v>0</v>
      </c>
      <c r="M8" s="478">
        <f>industrie!M18</f>
        <v>0</v>
      </c>
      <c r="N8" s="478">
        <f>industrie!N18</f>
        <v>597.80401645037796</v>
      </c>
      <c r="O8" s="478">
        <f>industrie!O18</f>
        <v>0</v>
      </c>
      <c r="P8" s="479">
        <f>industrie!P18</f>
        <v>0</v>
      </c>
      <c r="Q8" s="477">
        <f t="shared" si="0"/>
        <v>3450.5783238908998</v>
      </c>
    </row>
    <row r="9" spans="1:17" s="483" customFormat="1">
      <c r="A9" s="481" t="s">
        <v>561</v>
      </c>
      <c r="B9" s="482">
        <f>transport!B14</f>
        <v>27.919494830167839</v>
      </c>
      <c r="C9" s="482">
        <f>transport!C14</f>
        <v>0</v>
      </c>
      <c r="D9" s="482">
        <f>transport!D14</f>
        <v>105.07946084000248</v>
      </c>
      <c r="E9" s="482">
        <f>transport!E14</f>
        <v>138.63161455455003</v>
      </c>
      <c r="F9" s="482">
        <f>transport!F14</f>
        <v>0</v>
      </c>
      <c r="G9" s="482">
        <f>transport!G14</f>
        <v>53784.542343037479</v>
      </c>
      <c r="H9" s="482">
        <f>transport!H14</f>
        <v>11798.728905089138</v>
      </c>
      <c r="I9" s="482">
        <f>transport!I14</f>
        <v>0</v>
      </c>
      <c r="J9" s="482">
        <f>transport!J14</f>
        <v>0</v>
      </c>
      <c r="K9" s="482">
        <f>transport!K14</f>
        <v>0</v>
      </c>
      <c r="L9" s="482">
        <f>transport!L14</f>
        <v>0</v>
      </c>
      <c r="M9" s="482">
        <f>transport!M14</f>
        <v>3492.5743660996127</v>
      </c>
      <c r="N9" s="482">
        <f>transport!N14</f>
        <v>0</v>
      </c>
      <c r="O9" s="482">
        <f>transport!O14</f>
        <v>0</v>
      </c>
      <c r="P9" s="482">
        <f>transport!P14</f>
        <v>0</v>
      </c>
      <c r="Q9" s="481">
        <f>SUM(B9:P9)</f>
        <v>69347.476184450948</v>
      </c>
    </row>
    <row r="10" spans="1:17">
      <c r="A10" s="477" t="s">
        <v>551</v>
      </c>
      <c r="B10" s="478">
        <f>transport!B54</f>
        <v>0</v>
      </c>
      <c r="C10" s="478">
        <f>transport!C54</f>
        <v>0</v>
      </c>
      <c r="D10" s="478">
        <f>transport!D54</f>
        <v>0</v>
      </c>
      <c r="E10" s="478">
        <f>transport!E54</f>
        <v>0</v>
      </c>
      <c r="F10" s="478">
        <f>transport!F54</f>
        <v>0</v>
      </c>
      <c r="G10" s="478">
        <f>transport!G54</f>
        <v>3546.175168743735</v>
      </c>
      <c r="H10" s="478">
        <f>transport!H54</f>
        <v>0</v>
      </c>
      <c r="I10" s="478">
        <f>transport!I54</f>
        <v>0</v>
      </c>
      <c r="J10" s="478">
        <f>transport!J54</f>
        <v>0</v>
      </c>
      <c r="K10" s="478">
        <f>transport!K54</f>
        <v>0</v>
      </c>
      <c r="L10" s="478">
        <f>transport!L54</f>
        <v>0</v>
      </c>
      <c r="M10" s="478">
        <f>transport!M54</f>
        <v>201.40709472348865</v>
      </c>
      <c r="N10" s="478">
        <f>transport!N54</f>
        <v>0</v>
      </c>
      <c r="O10" s="478">
        <f>transport!O54</f>
        <v>0</v>
      </c>
      <c r="P10" s="479">
        <f>transport!P54</f>
        <v>0</v>
      </c>
      <c r="Q10" s="477">
        <f t="shared" si="0"/>
        <v>3747.5822634672236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44697.368052982943</v>
      </c>
      <c r="C14" s="488">
        <f t="shared" ref="C14:Q14" ca="1" si="1">SUM(C4:C13)</f>
        <v>0</v>
      </c>
      <c r="D14" s="488">
        <f t="shared" ca="1" si="1"/>
        <v>39176.27197174001</v>
      </c>
      <c r="E14" s="488">
        <f t="shared" si="1"/>
        <v>4308.8333995365902</v>
      </c>
      <c r="F14" s="488">
        <f t="shared" ca="1" si="1"/>
        <v>64379.767292019016</v>
      </c>
      <c r="G14" s="488">
        <f t="shared" si="1"/>
        <v>57330.717511781215</v>
      </c>
      <c r="H14" s="488">
        <f t="shared" si="1"/>
        <v>11798.728905089138</v>
      </c>
      <c r="I14" s="488">
        <f t="shared" si="1"/>
        <v>0</v>
      </c>
      <c r="J14" s="488">
        <f t="shared" si="1"/>
        <v>117.50254755890144</v>
      </c>
      <c r="K14" s="488">
        <f t="shared" si="1"/>
        <v>0</v>
      </c>
      <c r="L14" s="488">
        <f t="shared" ca="1" si="1"/>
        <v>0</v>
      </c>
      <c r="M14" s="488">
        <f t="shared" si="1"/>
        <v>3693.9814608231013</v>
      </c>
      <c r="N14" s="488">
        <f t="shared" ca="1" si="1"/>
        <v>8909.7193403399615</v>
      </c>
      <c r="O14" s="488">
        <f t="shared" si="1"/>
        <v>358.00333333333333</v>
      </c>
      <c r="P14" s="489">
        <f t="shared" si="1"/>
        <v>1220.2666666666667</v>
      </c>
      <c r="Q14" s="489">
        <f t="shared" ca="1" si="1"/>
        <v>235991.1604818709</v>
      </c>
    </row>
    <row r="16" spans="1:17">
      <c r="A16" s="491" t="s">
        <v>556</v>
      </c>
      <c r="B16" s="841">
        <f ca="1">huishoudens!B10</f>
        <v>0.19076341083535092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5016.2343987146996</v>
      </c>
      <c r="C21" s="478">
        <f t="shared" ref="C21:C30" ca="1" si="3">C4*$C$16</f>
        <v>0</v>
      </c>
      <c r="D21" s="478">
        <f t="shared" ref="D21:D30" si="4">D4*$D$16</f>
        <v>6345.7407846800015</v>
      </c>
      <c r="E21" s="478">
        <f t="shared" ref="E21:E30" si="5">E4*$E$16</f>
        <v>861.23134061527594</v>
      </c>
      <c r="F21" s="478">
        <f t="shared" ref="F21:F30" si="6">F4*$F$16</f>
        <v>15485.340126304563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27708.54665031454</v>
      </c>
    </row>
    <row r="22" spans="1:17">
      <c r="A22" s="477" t="s">
        <v>156</v>
      </c>
      <c r="B22" s="478">
        <f t="shared" ca="1" si="2"/>
        <v>2905.5904106706807</v>
      </c>
      <c r="C22" s="478">
        <f t="shared" ca="1" si="3"/>
        <v>0</v>
      </c>
      <c r="D22" s="478">
        <f t="shared" ca="1" si="4"/>
        <v>1402.6112841774002</v>
      </c>
      <c r="E22" s="478">
        <f t="shared" si="5"/>
        <v>38.607713437614699</v>
      </c>
      <c r="F22" s="478">
        <f t="shared" ca="1" si="6"/>
        <v>637.54973755707795</v>
      </c>
      <c r="G22" s="478">
        <f t="shared" si="7"/>
        <v>0</v>
      </c>
      <c r="H22" s="478">
        <f t="shared" si="8"/>
        <v>0</v>
      </c>
      <c r="I22" s="478">
        <f t="shared" si="9"/>
        <v>0</v>
      </c>
      <c r="J22" s="478">
        <f t="shared" si="10"/>
        <v>4.401993384565088E-3</v>
      </c>
      <c r="K22" s="478">
        <f t="shared" si="11"/>
        <v>0</v>
      </c>
      <c r="L22" s="478">
        <f t="shared" ca="1" si="12"/>
        <v>0</v>
      </c>
      <c r="M22" s="478">
        <f t="shared" si="13"/>
        <v>0</v>
      </c>
      <c r="N22" s="478">
        <f t="shared" ca="1" si="14"/>
        <v>0</v>
      </c>
      <c r="O22" s="478">
        <f t="shared" si="15"/>
        <v>0</v>
      </c>
      <c r="P22" s="479">
        <f t="shared" si="16"/>
        <v>0</v>
      </c>
      <c r="Q22" s="477">
        <f t="shared" ref="Q22:Q30" ca="1" si="17">SUM(B22:P22)</f>
        <v>4984.3635478361584</v>
      </c>
    </row>
    <row r="23" spans="1:17">
      <c r="A23" s="477" t="s">
        <v>194</v>
      </c>
      <c r="B23" s="478">
        <f t="shared" ca="1" si="2"/>
        <v>168.83286759889731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168.83286759889731</v>
      </c>
    </row>
    <row r="24" spans="1:17">
      <c r="A24" s="477" t="s">
        <v>112</v>
      </c>
      <c r="B24" s="478">
        <f t="shared" ca="1" si="2"/>
        <v>153.76045974538542</v>
      </c>
      <c r="C24" s="478">
        <f t="shared" ca="1" si="3"/>
        <v>0</v>
      </c>
      <c r="D24" s="478">
        <f t="shared" si="4"/>
        <v>26.539652435999997</v>
      </c>
      <c r="E24" s="478">
        <f t="shared" si="5"/>
        <v>5.3779921604791756</v>
      </c>
      <c r="F24" s="478">
        <f t="shared" si="6"/>
        <v>896.54993539874033</v>
      </c>
      <c r="G24" s="478">
        <f t="shared" si="7"/>
        <v>0</v>
      </c>
      <c r="H24" s="478">
        <f t="shared" si="8"/>
        <v>0</v>
      </c>
      <c r="I24" s="478">
        <f t="shared" si="9"/>
        <v>0</v>
      </c>
      <c r="J24" s="478">
        <f t="shared" si="10"/>
        <v>41.338704945899906</v>
      </c>
      <c r="K24" s="478">
        <f t="shared" si="11"/>
        <v>0</v>
      </c>
      <c r="L24" s="478">
        <f t="shared" si="12"/>
        <v>0</v>
      </c>
      <c r="M24" s="478">
        <f t="shared" si="13"/>
        <v>0</v>
      </c>
      <c r="N24" s="478">
        <f t="shared" si="14"/>
        <v>0</v>
      </c>
      <c r="O24" s="478">
        <f t="shared" si="15"/>
        <v>0</v>
      </c>
      <c r="P24" s="479">
        <f t="shared" si="16"/>
        <v>0</v>
      </c>
      <c r="Q24" s="477">
        <f t="shared" ca="1" si="17"/>
        <v>1123.566744686505</v>
      </c>
    </row>
    <row r="25" spans="1:17">
      <c r="A25" s="477" t="s">
        <v>635</v>
      </c>
      <c r="B25" s="478">
        <f t="shared" ca="1" si="2"/>
        <v>276.87823035780781</v>
      </c>
      <c r="C25" s="478">
        <f t="shared" ca="1" si="3"/>
        <v>0</v>
      </c>
      <c r="D25" s="478">
        <f t="shared" si="4"/>
        <v>117.4891659084</v>
      </c>
      <c r="E25" s="478">
        <f t="shared" si="5"/>
        <v>41.418758977553495</v>
      </c>
      <c r="F25" s="478">
        <f t="shared" si="6"/>
        <v>169.95806770869737</v>
      </c>
      <c r="G25" s="478">
        <f t="shared" si="7"/>
        <v>0</v>
      </c>
      <c r="H25" s="478">
        <f t="shared" si="8"/>
        <v>0</v>
      </c>
      <c r="I25" s="478">
        <f t="shared" si="9"/>
        <v>0</v>
      </c>
      <c r="J25" s="478">
        <f t="shared" si="10"/>
        <v>0.2527948965666344</v>
      </c>
      <c r="K25" s="478">
        <f t="shared" si="11"/>
        <v>0</v>
      </c>
      <c r="L25" s="478">
        <f t="shared" si="12"/>
        <v>0</v>
      </c>
      <c r="M25" s="478">
        <f t="shared" si="13"/>
        <v>0</v>
      </c>
      <c r="N25" s="478">
        <f t="shared" si="14"/>
        <v>0</v>
      </c>
      <c r="O25" s="478">
        <f t="shared" si="15"/>
        <v>0</v>
      </c>
      <c r="P25" s="479">
        <f t="shared" si="16"/>
        <v>0</v>
      </c>
      <c r="Q25" s="477">
        <f t="shared" ca="1" si="17"/>
        <v>605.99701784902538</v>
      </c>
    </row>
    <row r="26" spans="1:17" s="483" customFormat="1">
      <c r="A26" s="481" t="s">
        <v>561</v>
      </c>
      <c r="B26" s="835">
        <f t="shared" ca="1" si="2"/>
        <v>5.3260180626027633</v>
      </c>
      <c r="C26" s="482">
        <f t="shared" ca="1" si="3"/>
        <v>0</v>
      </c>
      <c r="D26" s="482">
        <f t="shared" si="4"/>
        <v>21.226051089680503</v>
      </c>
      <c r="E26" s="482">
        <f t="shared" si="5"/>
        <v>31.469376503882856</v>
      </c>
      <c r="F26" s="482">
        <f t="shared" si="6"/>
        <v>0</v>
      </c>
      <c r="G26" s="482">
        <f t="shared" si="7"/>
        <v>14360.472805591007</v>
      </c>
      <c r="H26" s="482">
        <f t="shared" si="8"/>
        <v>2937.8834973671951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17356.37774861437</v>
      </c>
    </row>
    <row r="27" spans="1:17">
      <c r="A27" s="477" t="s">
        <v>551</v>
      </c>
      <c r="B27" s="478">
        <f t="shared" ca="1" si="2"/>
        <v>0</v>
      </c>
      <c r="C27" s="478">
        <f t="shared" ca="1" si="3"/>
        <v>0</v>
      </c>
      <c r="D27" s="478">
        <f t="shared" si="4"/>
        <v>0</v>
      </c>
      <c r="E27" s="478">
        <f t="shared" si="5"/>
        <v>0</v>
      </c>
      <c r="F27" s="478">
        <f t="shared" si="6"/>
        <v>0</v>
      </c>
      <c r="G27" s="478">
        <f t="shared" si="7"/>
        <v>946.82877005457726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946.82877005457726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8526.6223851500727</v>
      </c>
      <c r="C31" s="488">
        <f t="shared" ca="1" si="18"/>
        <v>0</v>
      </c>
      <c r="D31" s="488">
        <f t="shared" ca="1" si="18"/>
        <v>7913.606938291482</v>
      </c>
      <c r="E31" s="488">
        <f t="shared" si="18"/>
        <v>978.10518169480611</v>
      </c>
      <c r="F31" s="488">
        <f t="shared" ca="1" si="18"/>
        <v>17189.397866969077</v>
      </c>
      <c r="G31" s="488">
        <f t="shared" si="18"/>
        <v>15307.301575645584</v>
      </c>
      <c r="H31" s="488">
        <f t="shared" si="18"/>
        <v>2937.8834973671951</v>
      </c>
      <c r="I31" s="488">
        <f t="shared" si="18"/>
        <v>0</v>
      </c>
      <c r="J31" s="488">
        <f t="shared" si="18"/>
        <v>41.595901835851102</v>
      </c>
      <c r="K31" s="488">
        <f t="shared" si="18"/>
        <v>0</v>
      </c>
      <c r="L31" s="488">
        <f t="shared" ca="1" si="18"/>
        <v>0</v>
      </c>
      <c r="M31" s="488">
        <f t="shared" si="18"/>
        <v>0</v>
      </c>
      <c r="N31" s="488">
        <f t="shared" ca="1" si="18"/>
        <v>0</v>
      </c>
      <c r="O31" s="488">
        <f t="shared" si="18"/>
        <v>0</v>
      </c>
      <c r="P31" s="489">
        <f t="shared" si="18"/>
        <v>0</v>
      </c>
      <c r="Q31" s="489">
        <f t="shared" ca="1" si="18"/>
        <v>52894.513346954074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0.19076341083535092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0.19076341083535092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0.19076341083535092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2018-09-06T12:47:16Z</dcterms:modified>
</cp:coreProperties>
</file>