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J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<sst xmlns="http://schemas.openxmlformats.org/spreadsheetml/2006/main" count="1914" uniqueCount="809">
  <si>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</si>
  <si>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</si>
  <si>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</si>
  <si>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</si>
  <si>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</si>
  <si>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</si>
  <si>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</si>
  <si>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</si>
  <si>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</si>
  <si>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</si>
  <si>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</si>
  <si>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</si>
  <si>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</si>
  <si>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</si>
  <si>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</si>
  <si>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</si>
  <si>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</si>
  <si>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</si>
  <si>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</si>
  <si>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</si>
  <si>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</si>
  <si>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</si>
  <si>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</si>
  <si>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</si>
  <si>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</si>
  <si>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</si>
  <si>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</si>
  <si>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</si>
  <si>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</si>
  <si>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</si>
  <si>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</si>
  <si>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</si>
  <si>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</si>
  <si>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</si>
  <si>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</si>
  <si>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</si>
  <si>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</si>
  <si>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</si>
  <si>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</si>
  <si>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</si>
  <si>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</si>
  <si>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</si>
  <si>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</si>
  <si>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</si>
  <si>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</si>
  <si>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</si>
  <si>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</si>
  <si>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</si>
  <si>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</si>
  <si>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</si>
  <si>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</si>
  <si>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</si>
  <si>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</si>
  <si>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</si>
  <si>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</si>
  <si>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</si>
  <si>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</si>
  <si>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</si>
  <si>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</si>
  <si>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</si>
  <si>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</si>
  <si>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</si>
  <si>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</si>
  <si>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</si>
  <si>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</si>
  <si>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</si>
  <si>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</si>
  <si>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</si>
  <si>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</si>
  <si>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</si>
  <si>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</si>
  <si>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</si>
  <si>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</si>
  <si>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</si>
  <si>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</si>
  <si>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</si>
  <si>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</si>
  <si>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</si>
  <si>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</si>
  <si>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</si>
  <si>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</si>
  <si>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</si>
  <si>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</si>
  <si>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</si>
  <si>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</si>
  <si>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</si>
  <si>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</si>
  <si>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</si>
  <si>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</si>
  <si>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</si>
  <si>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</si>
  <si>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</si>
  <si>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</si>
  <si>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</si>
  <si>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</si>
  <si>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</si>
  <si>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</si>
  <si>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</si>
  <si>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</si>
  <si>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</si>
  <si>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</si>
  <si>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</si>
  <si>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</si>
  <si>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</si>
  <si>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</si>
  <si>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</si>
  <si>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</si>
  <si>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</si>
  <si>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</si>
  <si>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</si>
  <si>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</si>
  <si>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</si>
  <si>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</si>
  <si>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</si>
  <si>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</si>
  <si>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</si>
  <si>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</si>
  <si>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</si>
  <si>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</si>
  <si>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</si>
  <si>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</si>
  <si>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</si>
  <si>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</si>
  <si>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</si>
  <si>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</si>
  <si>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</si>
  <si>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</si>
  <si>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</si>
  <si>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</si>
  <si>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</si>
  <si>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</si>
  <si>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</si>
  <si>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</si>
  <si>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</si>
  <si>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</si>
  <si>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</si>
  <si>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</si>
  <si>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</si>
  <si>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</si>
  <si>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</si>
  <si>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</si>
  <si>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</si>
  <si>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</si>
  <si>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</si>
  <si>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</si>
  <si>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</si>
  <si>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</si>
  <si>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</si>
  <si>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</si>
  <si>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</si>
  <si>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</si>
  <si>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</si>
  <si>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</si>
  <si>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</si>
  <si>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</si>
  <si>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</si>
  <si>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</si>
  <si>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</si>
  <si>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</si>
  <si>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</si>
  <si>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</si>
  <si>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</si>
  <si>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</si>
  <si>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</si>
  <si>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</si>
  <si>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</si>
  <si>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</si>
  <si>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</si>
  <si>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</si>
  <si>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</si>
  <si>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</si>
  <si>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</si>
  <si>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</si>
  <si>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</si>
  <si>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</si>
  <si>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</si>
  <si>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</si>
  <si>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</si>
  <si>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</si>
  <si>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</si>
  <si>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</si>
  <si>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</si>
  <si>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</si>
  <si>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</si>
  <si>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</si>
  <si>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</si>
  <si>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</si>
  <si>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</si>
  <si>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</si>
  <si>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</si>
  <si>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</si>
  <si>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</si>
  <si>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</si>
  <si>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</si>
  <si>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</si>
  <si>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</si>
  <si>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</si>
  <si>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</si>
  <si>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</si>
  <si>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</si>
  <si>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</si>
  <si>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</si>
  <si>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</si>
  <si>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</si>
  <si>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</si>
  <si>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</si>
  <si>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</si>
  <si>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</si>
  <si>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</si>
  <si>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</si>
  <si>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</si>
  <si>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</si>
  <si>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</si>
  <si>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</si>
  <si>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</si>
  <si>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</si>
  <si>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</si>
  <si>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</si>
  <si>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</si>
  <si>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</si>
  <si>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</si>
  <si>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</si>
  <si>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</si>
  <si>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</si>
  <si>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</si>
  <si>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</si>
  <si>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</si>
  <si>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</si>
  <si>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</si>
  <si>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</si>
  <si>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</si>
  <si>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</si>
  <si>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</si>
  <si>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</si>
  <si>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</si>
  <si>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</si>
  <si>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</si>
  <si>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</si>
  <si>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</si>
  <si>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</si>
  <si>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</si>
  <si>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</si>
  <si>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</si>
  <si>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</si>
  <si>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</si>
  <si>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</si>
  <si>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</si>
  <si>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</si>
  <si>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</si>
  <si>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</si>
  <si>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</si>
  <si>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</si>
  <si>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</si>
  <si>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</si>
  <si>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</si>
  <si>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</si>
  <si>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</si>
  <si>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</si>
  <si>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</si>
  <si>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</si>
  <si>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</si>
  <si>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</si>
  <si>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</si>
  <si>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</si>
  <si>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</si>
  <si>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</si>
  <si>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</si>
  <si>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</si>
  <si>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</si>
  <si>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</si>
  <si>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</si>
  <si>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</si>
  <si>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</si>
  <si>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</si>
  <si>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</si>
  <si>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</si>
  <si>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</si>
  <si>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</si>
  <si>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</si>
  <si>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</si>
  <si>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</si>
  <si>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</si>
  <si>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</si>
  <si>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</si>
  <si>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</si>
  <si>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</si>
  <si>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</si>
  <si>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</si>
  <si>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</si>
  <si>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</si>
  <si>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</si>
  <si>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</si>
  <si>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</si>
  <si>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</si>
  <si>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</si>
  <si>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</si>
  <si>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</si>
  <si>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</si>
  <si>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</si>
  <si>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</si>
  <si>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</si>
  <si>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</si>
  <si>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</si>
  <si>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</si>
  <si>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</si>
  <si>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</si>
  <si>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</si>
  <si>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</si>
  <si>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</si>
  <si>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</si>
  <si>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</si>
  <si>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</si>
  <si>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</si>
  <si>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</si>
  <si>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</si>
  <si>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</si>
  <si>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</si>
  <si>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</si>
  <si>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</si>
  <si>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</si>
  <si>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</si>
  <si>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</si>
  <si>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</si>
  <si>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</si>
  <si>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</si>
  <si>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</si>
  <si>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</si>
  <si>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</si>
  <si>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</si>
  <si>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</si>
  <si>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</si>
  <si>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</si>
  <si>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</si>
  <si>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</si>
  <si>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</si>
  <si>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</si>
  <si>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</si>
  <si>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</si>
  <si>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</si>
  <si>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</si>
  <si>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</si>
  <si>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</si>
  <si>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</si>
  <si>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</si>
  <si>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</si>
  <si>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</si>
  <si>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</si>
  <si>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</si>
  <si>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</si>
  <si>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</si>
  <si>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</si>
  <si>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</si>
  <si>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</si>
  <si>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</si>
  <si>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</si>
  <si>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</si>
  <si>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</si>
  <si>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</si>
  <si>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</si>
  <si>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</si>
  <si>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</si>
  <si>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</si>
  <si>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</si>
  <si>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</si>
  <si>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</si>
  <si>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</si>
  <si>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</si>
  <si>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</si>
  <si>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</si>
  <si>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</si>
  <si>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</si>
  <si>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</si>
  <si>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</si>
  <si>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</si>
  <si>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</si>
  <si>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</si>
  <si>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</si>
  <si>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</si>
  <si>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</si>
  <si>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</si>
  <si>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</si>
  <si>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</si>
  <si>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</si>
  <si>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</si>
  <si>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</si>
  <si>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</si>
  <si>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</si>
  <si>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</si>
  <si>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</si>
  <si>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</si>
  <si>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</si>
  <si>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</si>
  <si>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</si>
  <si>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</si>
  <si>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</si>
  <si>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</si>
  <si>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</si>
  <si>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</si>
  <si>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</si>
  <si>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</si>
  <si>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</si>
  <si>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</si>
  <si>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</si>
  <si>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</si>
  <si>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</si>
  <si>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</si>
  <si>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</si>
  <si>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</si>
  <si>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</si>
  <si>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</si>
  <si>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</si>
  <si>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</si>
  <si>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</si>
  <si>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</si>
  <si>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</si>
  <si>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</si>
  <si>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</si>
  <si>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</si>
  <si>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</si>
  <si>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</si>
  <si>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</si>
  <si>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</si>
  <si>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</si>
  <si>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</si>
  <si>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</si>
  <si>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</si>
  <si>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</si>
  <si>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</si>
  <si>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</si>
  <si>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</si>
  <si>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</si>
  <si>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</si>
  <si>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</si>
  <si>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</si>
  <si>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</si>
  <si>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</si>
  <si>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</si>
  <si>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</si>
  <si>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</si>
  <si>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</si>
  <si>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</si>
  <si>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</si>
  <si>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</si>
  <si>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</si>
  <si>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</si>
  <si>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</si>
  <si>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</si>
  <si>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</si>
  <si>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</si>
  <si>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</si>
  <si>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</si>
  <si>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</si>
  <si>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</si>
  <si>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</si>
  <si>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</si>
  <si>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</si>
  <si>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</si>
  <si>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</si>
  <si>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</si>
  <si>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</si>
  <si>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</si>
  <si>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</si>
  <si>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</si>
  <si>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</si>
  <si>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</si>
  <si>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</si>
  <si>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</si>
  <si>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</si>
  <si>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</si>
  <si>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</si>
  <si>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</si>
  <si>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</si>
  <si>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</si>
  <si>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</si>
  <si>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</si>
  <si>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</si>
  <si>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</si>
  <si>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</si>
  <si>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</si>
  <si>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</si>
  <si>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</si>
  <si>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</si>
  <si>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</si>
  <si>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</si>
  <si>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</si>
  <si>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</si>
  <si>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</si>
  <si>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</si>
  <si>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</si>
  <si>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</si>
  <si>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</si>
  <si>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</si>
  <si>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</si>
  <si>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</si>
  <si>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</si>
  <si>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</si>
  <si>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</si>
  <si>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</si>
  <si>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</si>
  <si>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</si>
  <si>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</si>
  <si>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</si>
  <si>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</si>
  <si>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</si>
  <si>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</si>
  <si>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</si>
  <si>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</si>
  <si>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</si>
  <si>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</si>
  <si>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</si>
  <si>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</si>
  <si>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</si>
  <si>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</si>
  <si>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</si>
  <si>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</si>
  <si>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</si>
  <si>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</si>
  <si>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</si>
  <si>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</si>
  <si>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</si>
  <si>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</si>
  <si>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</si>
  <si>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</si>
  <si>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</si>
  <si>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</si>
  <si>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</si>
  <si>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</si>
  <si>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</si>
  <si>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</si>
  <si>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</si>
  <si>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</si>
  <si>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</si>
  <si>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</si>
  <si>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</si>
  <si>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</si>
  <si>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</si>
  <si>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</si>
  <si>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</si>
  <si>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</si>
  <si>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</si>
  <si>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</si>
  <si>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</si>
  <si>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</si>
  <si>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</si>
  <si>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</si>
  <si>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</si>
  <si>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</si>
  <si>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</si>
  <si>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</si>
  <si>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</si>
  <si>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</si>
  <si>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</si>
  <si>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</si>
  <si>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</si>
  <si>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</si>
  <si>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</si>
  <si>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</si>
  <si>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</si>
  <si>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</si>
  <si>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</si>
  <si>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</si>
  <si>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</si>
  <si>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</si>
  <si>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</si>
  <si>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</si>
  <si>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</si>
  <si>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</si>
  <si>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</si>
  <si>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</si>
  <si>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</si>
  <si>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</si>
  <si>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</si>
  <si>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</si>
  <si>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</si>
  <si>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</si>
  <si>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</si>
  <si>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</si>
  <si>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</si>
  <si>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</si>
  <si>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</si>
  <si>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</si>
  <si>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</si>
  <si>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</si>
  <si>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</si>
  <si>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</si>
  <si>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</si>
  <si>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</si>
  <si>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</si>
  <si>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</si>
  <si>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</si>
  <si>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</si>
  <si>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</si>
  <si>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</si>
  <si>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</si>
  <si>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</si>
  <si>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</si>
  <si>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</si>
  <si>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</si>
  <si>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</si>
  <si>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</si>
  <si>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</si>
  <si>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</si>
  <si>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</si>
  <si>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</si>
  <si>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</si>
  <si>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</si>
  <si>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</si>
  <si>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</si>
  <si>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</si>
  <si>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</si>
  <si>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</si>
  <si>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</si>
  <si>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</si>
  <si>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</si>
  <si>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</si>
  <si>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</si>
  <si>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</si>
  <si>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</si>
  <si>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</si>
  <si>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</si>
  <si>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</si>
  <si>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</si>
  <si>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</si>
  <si>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</si>
  <si>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</si>
  <si>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</si>
  <si>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</si>
  <si>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</si>
  <si>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</si>
  <si>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</si>
  <si>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</si>
  <si>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</si>
  <si>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</si>
  <si>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</si>
  <si>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</si>
  <si>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</si>
  <si>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</si>
  <si>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</si>
  <si>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</si>
  <si>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</si>
  <si>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</si>
  <si>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</si>
  <si>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</si>
  <si>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</si>
  <si>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</si>
  <si>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</si>
  <si>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</si>
  <si>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</si>
  <si>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</si>
  <si>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</si>
  <si>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</si>
  <si>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</si>
  <si>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</si>
  <si>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</si>
  <si>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</si>
  <si>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</si>
  <si>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</si>
  <si>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</si>
  <si>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</si>
  <si>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</si>
  <si>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</si>
  <si>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</si>
  <si>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</si>
  <si>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</si>
  <si>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</si>
  <si>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</si>
  <si>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</si>
  <si>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</si>
  <si>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</si>
  <si>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</si>
  <si>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</si>
  <si>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</si>
  <si>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</si>
  <si>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</si>
  <si>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</si>
  <si>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</si>
  <si>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</si>
  <si>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</si>
  <si>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</si>
  <si>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</si>
  <si>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</si>
  <si>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</si>
  <si>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</si>
  <si>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</si>
  <si>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</si>
  <si>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</si>
  <si>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</si>
  <si>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</si>
  <si>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</si>
  <si>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</si>
  <si>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</si>
  <si>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</si>
  <si>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</si>
  <si>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</si>
  <si>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</si>
  <si>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</si>
  <si>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</si>
  <si>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</si>
  <si>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</si>
  <si>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</si>
  <si>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</si>
  <si>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</si>
  <si>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</si>
  <si>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</si>
  <si>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</si>
  <si>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</si>
  <si>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</si>
  <si>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</si>
  <si>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</si>
  <si>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</si>
  <si>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</si>
  <si>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</si>
  <si>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</si>
  <si>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</si>
  <si>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</si>
  <si>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</si>
  <si>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</si>
  <si>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</si>
  <si>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</si>
  <si>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</si>
  <si>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</si>
  <si>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</si>
  <si>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</si>
  <si>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</si>
  <si>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</si>
  <si>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</si>
  <si>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</si>
  <si>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</si>
  <si>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</si>
  <si>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</si>
  <si>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</si>
  <si>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</si>
  <si>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</si>
  <si>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</si>
  <si>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</si>
  <si>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</si>
  <si>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</si>
  <si>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</si>
  <si>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</si>
  <si>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</si>
  <si>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</si>
  <si>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</si>
  <si>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</si>
  <si>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</si>
  <si>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</si>
  <si>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</si>
  <si>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</si>
  <si>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</si>
  <si>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</si>
  <si>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</si>
  <si>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</si>
  <si>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</si>
  <si>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</si>
  <si>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</si>
  <si>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</si>
  <si>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</si>
  <si>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</si>
  <si>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</si>
  <si>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</si>
  <si>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</si>
  <si>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</si>
  <si>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</si>
  <si>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</si>
  <si>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</si>
  <si>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</si>
  <si>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</si>
  <si>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</si>
  <si>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</si>
  <si>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</si>
  <si>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</si>
  <si>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</si>
  <si>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</si>
  <si>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</si>
  <si>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</si>
  <si>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</si>
  <si>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</si>
  <si>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</si>
  <si>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</si>
  <si>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</si>
  <si>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</si>
  <si>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</si>
  <si>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</si>
  <si>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</si>
  <si>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</si>
  <si>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</si>
  <si>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</si>
  <si>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</si>
  <si>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</si>
  <si>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</si>
  <si>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</si>
  <si>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</si>
  <si>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</si>
  <si>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</si>
  <si>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</si>
  <si>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</si>
  <si>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</si>
  <si>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</si>
  <si>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</si>
  <si>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</si>
  <si>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</si>
  <si>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</si>
  <si>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24054</t>
  </si>
  <si>
    <t>KORTENAKEN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</si>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</sst>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92335.619518661115</c:v>
                </c:pt>
                <c:pt idx="1">
                  <c:v>5385.4403042641097</c:v>
                </c:pt>
                <c:pt idx="2">
                  <c:v>659.423</c:v>
                </c:pt>
                <c:pt idx="3">
                  <c:v>22680.780763713006</c:v>
                </c:pt>
                <c:pt idx="4">
                  <c:v>2461.2775412667306</c:v>
                </c:pt>
                <c:pt idx="5">
                  <c:v>34898.007937137991</c:v>
                </c:pt>
                <c:pt idx="6">
                  <c:v>607.47453929487892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92335.619518661115</c:v>
                </c:pt>
                <c:pt idx="1">
                  <c:v>5385.4403042641097</c:v>
                </c:pt>
                <c:pt idx="2">
                  <c:v>659.423</c:v>
                </c:pt>
                <c:pt idx="3">
                  <c:v>22680.780763713006</c:v>
                </c:pt>
                <c:pt idx="4">
                  <c:v>2461.2775412667306</c:v>
                </c:pt>
                <c:pt idx="5">
                  <c:v>34898.007937137991</c:v>
                </c:pt>
                <c:pt idx="6">
                  <c:v>607.47453929487892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19571.522706295931</c:v>
                </c:pt>
                <c:pt idx="1">
                  <c:v>1045.0162264538576</c:v>
                </c:pt>
                <c:pt idx="2">
                  <c:v>122.11581008440918</c:v>
                </c:pt>
                <c:pt idx="3">
                  <c:v>5751.6619854238079</c:v>
                </c:pt>
                <c:pt idx="4">
                  <c:v>450.60866993211755</c:v>
                </c:pt>
                <c:pt idx="5">
                  <c:v>8720.5565281024865</c:v>
                </c:pt>
                <c:pt idx="6">
                  <c:v>153.47878457186846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19571.522706295931</c:v>
                </c:pt>
                <c:pt idx="1">
                  <c:v>1045.0162264538576</c:v>
                </c:pt>
                <c:pt idx="2">
                  <c:v>122.11581008440918</c:v>
                </c:pt>
                <c:pt idx="3">
                  <c:v>5751.6619854238079</c:v>
                </c:pt>
                <c:pt idx="4">
                  <c:v>450.60866993211755</c:v>
                </c:pt>
                <c:pt idx="5">
                  <c:v>8720.5565281024865</c:v>
                </c:pt>
                <c:pt idx="6">
                  <c:v>153.47878457186846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3964.1148000000003</v>
      </c>
      <c r="D10" s="718">
        <f ca="1">tertiair!C16</f>
        <v>0</v>
      </c>
      <c r="E10" s="718">
        <f ca="1">tertiair!D16</f>
        <v>1302.8118179999999</v>
      </c>
      <c r="F10" s="718">
        <f>tertiair!E16</f>
        <v>68.196983792143598</v>
      </c>
      <c r="G10" s="718">
        <f ca="1">tertiair!F16</f>
        <v>578.21811164032738</v>
      </c>
      <c r="H10" s="718">
        <f>tertiair!G16</f>
        <v>0</v>
      </c>
      <c r="I10" s="718">
        <f>tertiair!H16</f>
        <v>0</v>
      </c>
      <c r="J10" s="718">
        <f>tertiair!I16</f>
        <v>0</v>
      </c>
      <c r="K10" s="718">
        <f>tertiair!J16</f>
        <v>3.1680892161174623E-3</v>
      </c>
      <c r="L10" s="718">
        <f>tertiair!K16</f>
        <v>0</v>
      </c>
      <c r="M10" s="718">
        <f ca="1">tertiair!L16</f>
        <v>0</v>
      </c>
      <c r="N10" s="718">
        <f>tertiair!M16</f>
        <v>0</v>
      </c>
      <c r="O10" s="718">
        <f ca="1">tertiair!N16</f>
        <v>131.51842274242304</v>
      </c>
      <c r="P10" s="718">
        <f>tertiair!O16</f>
        <v>0</v>
      </c>
      <c r="Q10" s="719">
        <f>tertiair!P16</f>
        <v>0</v>
      </c>
      <c r="R10" s="721">
        <f ca="1">SUM(C10:Q10)</f>
        <v>6044.8633042641104</v>
      </c>
      <c r="S10" s="67"/>
    </row>
    <row r="11" spans="1:19" s="474" customFormat="1">
      <c r="A11" s="870" t="s">
        <v>225</v>
      </c>
      <c r="B11" s="875"/>
      <c r="C11" s="718">
        <f>huishoudens!B8</f>
        <v>13901.7356211513</v>
      </c>
      <c r="D11" s="718">
        <f>huishoudens!C8</f>
        <v>0</v>
      </c>
      <c r="E11" s="718">
        <f>huishoudens!D8</f>
        <v>10069.1190413</v>
      </c>
      <c r="F11" s="718">
        <f>huishoudens!E8</f>
        <v>4609.2937942120961</v>
      </c>
      <c r="G11" s="718">
        <f>huishoudens!F8</f>
        <v>49374.140282656859</v>
      </c>
      <c r="H11" s="718">
        <f>huishoudens!G8</f>
        <v>0</v>
      </c>
      <c r="I11" s="718">
        <f>huishoudens!H8</f>
        <v>0</v>
      </c>
      <c r="J11" s="718">
        <f>huishoudens!I8</f>
        <v>0</v>
      </c>
      <c r="K11" s="718">
        <f>huishoudens!J8</f>
        <v>2073.3072256914897</v>
      </c>
      <c r="L11" s="718">
        <f>huishoudens!K8</f>
        <v>0</v>
      </c>
      <c r="M11" s="718">
        <f>huishoudens!L8</f>
        <v>0</v>
      </c>
      <c r="N11" s="718">
        <f>huishoudens!M8</f>
        <v>0</v>
      </c>
      <c r="O11" s="718">
        <f>huishoudens!N8</f>
        <v>11519.363553649368</v>
      </c>
      <c r="P11" s="718">
        <f>huishoudens!O8</f>
        <v>159.46</v>
      </c>
      <c r="Q11" s="719">
        <f>huishoudens!P8</f>
        <v>629.20000000000005</v>
      </c>
      <c r="R11" s="721">
        <f>SUM(C11:Q11)</f>
        <v>92335.619518661115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1239.9850000000001</v>
      </c>
      <c r="D13" s="718">
        <f>industrie!C18</f>
        <v>0</v>
      </c>
      <c r="E13" s="718">
        <f>industrie!D18</f>
        <v>406.52959599999997</v>
      </c>
      <c r="F13" s="718">
        <f>industrie!E18</f>
        <v>131.32085360847131</v>
      </c>
      <c r="G13" s="718">
        <f>industrie!F18</f>
        <v>408.42954667344003</v>
      </c>
      <c r="H13" s="718">
        <f>industrie!G18</f>
        <v>0</v>
      </c>
      <c r="I13" s="718">
        <f>industrie!H18</f>
        <v>0</v>
      </c>
      <c r="J13" s="718">
        <f>industrie!I18</f>
        <v>0</v>
      </c>
      <c r="K13" s="718">
        <f>industrie!J18</f>
        <v>4.2093645787672721E-3</v>
      </c>
      <c r="L13" s="718">
        <f>industrie!K18</f>
        <v>0</v>
      </c>
      <c r="M13" s="718">
        <f>industrie!L18</f>
        <v>0</v>
      </c>
      <c r="N13" s="718">
        <f>industrie!M18</f>
        <v>0</v>
      </c>
      <c r="O13" s="718">
        <f>industrie!N18</f>
        <v>275.00833562024019</v>
      </c>
      <c r="P13" s="718">
        <f>industrie!O18</f>
        <v>0</v>
      </c>
      <c r="Q13" s="719">
        <f>industrie!P18</f>
        <v>0</v>
      </c>
      <c r="R13" s="721">
        <f>SUM(C13:Q13)</f>
        <v>2461.2775412667306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19105.8354211513</v>
      </c>
      <c r="D15" s="723">
        <f t="shared" ref="D15:Q15" ca="1" si="0">SUM(D9:D14)</f>
        <v>0</v>
      </c>
      <c r="E15" s="723">
        <f t="shared" ca="1" si="0"/>
        <v>11778.460455300001</v>
      </c>
      <c r="F15" s="723">
        <f t="shared" si="0"/>
        <v>4808.8116316127107</v>
      </c>
      <c r="G15" s="723">
        <f t="shared" ca="1" si="0"/>
        <v>50360.787940970629</v>
      </c>
      <c r="H15" s="723">
        <f t="shared" si="0"/>
        <v>0</v>
      </c>
      <c r="I15" s="723">
        <f t="shared" si="0"/>
        <v>0</v>
      </c>
      <c r="J15" s="723">
        <f t="shared" si="0"/>
        <v>0</v>
      </c>
      <c r="K15" s="723">
        <f t="shared" si="0"/>
        <v>2073.3146031452848</v>
      </c>
      <c r="L15" s="723">
        <f t="shared" si="0"/>
        <v>0</v>
      </c>
      <c r="M15" s="723">
        <f t="shared" ca="1" si="0"/>
        <v>0</v>
      </c>
      <c r="N15" s="723">
        <f t="shared" si="0"/>
        <v>0</v>
      </c>
      <c r="O15" s="723">
        <f t="shared" ca="1" si="0"/>
        <v>11925.89031201203</v>
      </c>
      <c r="P15" s="723">
        <f t="shared" si="0"/>
        <v>159.46</v>
      </c>
      <c r="Q15" s="724">
        <f t="shared" si="0"/>
        <v>629.20000000000005</v>
      </c>
      <c r="R15" s="725">
        <f ca="1">SUM(R9:R14)</f>
        <v>100841.76036419196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574.82690850887059</v>
      </c>
      <c r="I18" s="718">
        <f>transport!H54</f>
        <v>0</v>
      </c>
      <c r="J18" s="718">
        <f>transport!I54</f>
        <v>0</v>
      </c>
      <c r="K18" s="718">
        <f>transport!J54</f>
        <v>0</v>
      </c>
      <c r="L18" s="718">
        <f>transport!K54</f>
        <v>0</v>
      </c>
      <c r="M18" s="718">
        <f>transport!L54</f>
        <v>0</v>
      </c>
      <c r="N18" s="718">
        <f>transport!M54</f>
        <v>32.647630786008335</v>
      </c>
      <c r="O18" s="718">
        <f>transport!N54</f>
        <v>0</v>
      </c>
      <c r="P18" s="718">
        <f>transport!O54</f>
        <v>0</v>
      </c>
      <c r="Q18" s="719">
        <f>transport!P54</f>
        <v>0</v>
      </c>
      <c r="R18" s="721">
        <f>SUM(C18:Q18)</f>
        <v>607.47453929487892</v>
      </c>
      <c r="S18" s="67"/>
    </row>
    <row r="19" spans="1:19" s="474" customFormat="1" ht="15" thickBot="1">
      <c r="A19" s="870" t="s">
        <v>307</v>
      </c>
      <c r="B19" s="875"/>
      <c r="C19" s="727">
        <f>transport!B14</f>
        <v>13.425158733668193</v>
      </c>
      <c r="D19" s="727">
        <f>transport!C14</f>
        <v>0</v>
      </c>
      <c r="E19" s="727">
        <f>transport!D14</f>
        <v>64.251088657520611</v>
      </c>
      <c r="F19" s="727">
        <f>transport!E14</f>
        <v>82.243740573533714</v>
      </c>
      <c r="G19" s="727">
        <f>transport!F14</f>
        <v>0</v>
      </c>
      <c r="H19" s="727">
        <f>transport!G14</f>
        <v>25881.857444196568</v>
      </c>
      <c r="I19" s="727">
        <f>transport!H14</f>
        <v>7132.3951486933338</v>
      </c>
      <c r="J19" s="727">
        <f>transport!I14</f>
        <v>0</v>
      </c>
      <c r="K19" s="727">
        <f>transport!J14</f>
        <v>0</v>
      </c>
      <c r="L19" s="727">
        <f>transport!K14</f>
        <v>0</v>
      </c>
      <c r="M19" s="727">
        <f>transport!L14</f>
        <v>0</v>
      </c>
      <c r="N19" s="727">
        <f>transport!M14</f>
        <v>1723.8353562833659</v>
      </c>
      <c r="O19" s="727">
        <f>transport!N14</f>
        <v>0</v>
      </c>
      <c r="P19" s="727">
        <f>transport!O14</f>
        <v>0</v>
      </c>
      <c r="Q19" s="728">
        <f>transport!P14</f>
        <v>0</v>
      </c>
      <c r="R19" s="729">
        <f>SUM(C19:Q19)</f>
        <v>34898.007937137991</v>
      </c>
      <c r="S19" s="67"/>
    </row>
    <row r="20" spans="1:19" s="474" customFormat="1" ht="15.75" thickBot="1">
      <c r="A20" s="730" t="s">
        <v>230</v>
      </c>
      <c r="B20" s="878"/>
      <c r="C20" s="873">
        <f>SUM(C17:C19)</f>
        <v>13.425158733668193</v>
      </c>
      <c r="D20" s="731">
        <f t="shared" ref="D20:R20" si="1">SUM(D17:D19)</f>
        <v>0</v>
      </c>
      <c r="E20" s="731">
        <f t="shared" si="1"/>
        <v>64.251088657520611</v>
      </c>
      <c r="F20" s="731">
        <f t="shared" si="1"/>
        <v>82.243740573533714</v>
      </c>
      <c r="G20" s="731">
        <f t="shared" si="1"/>
        <v>0</v>
      </c>
      <c r="H20" s="731">
        <f t="shared" si="1"/>
        <v>26456.684352705441</v>
      </c>
      <c r="I20" s="731">
        <f t="shared" si="1"/>
        <v>7132.3951486933338</v>
      </c>
      <c r="J20" s="731">
        <f t="shared" si="1"/>
        <v>0</v>
      </c>
      <c r="K20" s="731">
        <f t="shared" si="1"/>
        <v>0</v>
      </c>
      <c r="L20" s="731">
        <f t="shared" si="1"/>
        <v>0</v>
      </c>
      <c r="M20" s="731">
        <f t="shared" si="1"/>
        <v>0</v>
      </c>
      <c r="N20" s="731">
        <f t="shared" si="1"/>
        <v>1756.4829870693743</v>
      </c>
      <c r="O20" s="731">
        <f t="shared" si="1"/>
        <v>0</v>
      </c>
      <c r="P20" s="731">
        <f t="shared" si="1"/>
        <v>0</v>
      </c>
      <c r="Q20" s="732">
        <f t="shared" si="1"/>
        <v>0</v>
      </c>
      <c r="R20" s="733">
        <f t="shared" si="1"/>
        <v>35505.482476432866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4228.4889999999996</v>
      </c>
      <c r="D22" s="727">
        <f>+landbouw!C8</f>
        <v>0</v>
      </c>
      <c r="E22" s="727">
        <f>+landbouw!D8</f>
        <v>99.72963</v>
      </c>
      <c r="F22" s="727">
        <f>+landbouw!E8</f>
        <v>124.28820700610885</v>
      </c>
      <c r="G22" s="727">
        <f>+landbouw!F8</f>
        <v>17615.656678447638</v>
      </c>
      <c r="H22" s="727">
        <f>+landbouw!G8</f>
        <v>0</v>
      </c>
      <c r="I22" s="727">
        <f>+landbouw!H8</f>
        <v>0</v>
      </c>
      <c r="J22" s="727">
        <f>+landbouw!I8</f>
        <v>0</v>
      </c>
      <c r="K22" s="727">
        <f>+landbouw!J8</f>
        <v>612.61724825925785</v>
      </c>
      <c r="L22" s="727">
        <f>+landbouw!K8</f>
        <v>0</v>
      </c>
      <c r="M22" s="727">
        <f>+landbouw!L8</f>
        <v>0</v>
      </c>
      <c r="N22" s="727">
        <f>+landbouw!M8</f>
        <v>0</v>
      </c>
      <c r="O22" s="727">
        <f>+landbouw!N8</f>
        <v>0</v>
      </c>
      <c r="P22" s="727">
        <f>+landbouw!O8</f>
        <v>0</v>
      </c>
      <c r="Q22" s="728">
        <f>+landbouw!P8</f>
        <v>0</v>
      </c>
      <c r="R22" s="729">
        <f>SUM(C22:Q22)</f>
        <v>22680.780763713006</v>
      </c>
      <c r="S22" s="67"/>
    </row>
    <row r="23" spans="1:19" s="474" customFormat="1" ht="17.25" thickTop="1" thickBot="1">
      <c r="A23" s="734" t="s">
        <v>116</v>
      </c>
      <c r="B23" s="864"/>
      <c r="C23" s="735">
        <f ca="1">C20+C15+C22</f>
        <v>23347.74957988497</v>
      </c>
      <c r="D23" s="735">
        <f t="shared" ref="D23:Q23" ca="1" si="2">D20+D15+D22</f>
        <v>0</v>
      </c>
      <c r="E23" s="735">
        <f t="shared" ca="1" si="2"/>
        <v>11942.441173957521</v>
      </c>
      <c r="F23" s="735">
        <f t="shared" si="2"/>
        <v>5015.343579192353</v>
      </c>
      <c r="G23" s="735">
        <f t="shared" ca="1" si="2"/>
        <v>67976.444619418267</v>
      </c>
      <c r="H23" s="735">
        <f t="shared" si="2"/>
        <v>26456.684352705441</v>
      </c>
      <c r="I23" s="735">
        <f t="shared" si="2"/>
        <v>7132.3951486933338</v>
      </c>
      <c r="J23" s="735">
        <f t="shared" si="2"/>
        <v>0</v>
      </c>
      <c r="K23" s="735">
        <f t="shared" si="2"/>
        <v>2685.9318514045426</v>
      </c>
      <c r="L23" s="735">
        <f t="shared" si="2"/>
        <v>0</v>
      </c>
      <c r="M23" s="735">
        <f t="shared" ca="1" si="2"/>
        <v>0</v>
      </c>
      <c r="N23" s="735">
        <f t="shared" si="2"/>
        <v>1756.4829870693743</v>
      </c>
      <c r="O23" s="735">
        <f t="shared" ca="1" si="2"/>
        <v>11925.89031201203</v>
      </c>
      <c r="P23" s="735">
        <f t="shared" si="2"/>
        <v>159.46</v>
      </c>
      <c r="Q23" s="736">
        <f t="shared" si="2"/>
        <v>629.20000000000005</v>
      </c>
      <c r="R23" s="737">
        <f ca="1">R20+R15+R22</f>
        <v>159028.02360433782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734.09797666990028</v>
      </c>
      <c r="D36" s="718">
        <f ca="1">tertiair!C20</f>
        <v>0</v>
      </c>
      <c r="E36" s="718">
        <f ca="1">tertiair!D20</f>
        <v>263.16798723599999</v>
      </c>
      <c r="F36" s="718">
        <f>tertiair!E20</f>
        <v>15.480715320816596</v>
      </c>
      <c r="G36" s="718">
        <f ca="1">tertiair!F20</f>
        <v>154.38423580796743</v>
      </c>
      <c r="H36" s="718">
        <f>tertiair!G20</f>
        <v>0</v>
      </c>
      <c r="I36" s="718">
        <f>tertiair!H20</f>
        <v>0</v>
      </c>
      <c r="J36" s="718">
        <f>tertiair!I20</f>
        <v>0</v>
      </c>
      <c r="K36" s="718">
        <f>tertiair!J20</f>
        <v>1.1215035825055816E-3</v>
      </c>
      <c r="L36" s="718">
        <f>tertiair!K20</f>
        <v>0</v>
      </c>
      <c r="M36" s="718">
        <f ca="1">tertiair!L20</f>
        <v>0</v>
      </c>
      <c r="N36" s="718">
        <f>tertiair!M20</f>
        <v>0</v>
      </c>
      <c r="O36" s="718">
        <f ca="1">tertiair!N20</f>
        <v>0</v>
      </c>
      <c r="P36" s="718">
        <f>tertiair!O20</f>
        <v>0</v>
      </c>
      <c r="Q36" s="828">
        <f>tertiair!P20</f>
        <v>0</v>
      </c>
      <c r="R36" s="917">
        <f ca="1">SUM(C36:Q36)</f>
        <v>1167.1320365382667</v>
      </c>
    </row>
    <row r="37" spans="1:18">
      <c r="A37" s="885" t="s">
        <v>225</v>
      </c>
      <c r="B37" s="892"/>
      <c r="C37" s="718">
        <f ca="1">huishoudens!B12</f>
        <v>2574.4047553030118</v>
      </c>
      <c r="D37" s="718">
        <f ca="1">huishoudens!C12</f>
        <v>0</v>
      </c>
      <c r="E37" s="718">
        <f>huishoudens!D12</f>
        <v>2033.9620463426002</v>
      </c>
      <c r="F37" s="718">
        <f>huishoudens!E12</f>
        <v>1046.3096912861458</v>
      </c>
      <c r="G37" s="718">
        <f>huishoudens!F12</f>
        <v>13182.895455469383</v>
      </c>
      <c r="H37" s="718">
        <f>huishoudens!G12</f>
        <v>0</v>
      </c>
      <c r="I37" s="718">
        <f>huishoudens!H12</f>
        <v>0</v>
      </c>
      <c r="J37" s="718">
        <f>huishoudens!I12</f>
        <v>0</v>
      </c>
      <c r="K37" s="718">
        <f>huishoudens!J12</f>
        <v>733.95075789478733</v>
      </c>
      <c r="L37" s="718">
        <f>huishoudens!K12</f>
        <v>0</v>
      </c>
      <c r="M37" s="718">
        <f>huishoudens!L12</f>
        <v>0</v>
      </c>
      <c r="N37" s="718">
        <f>huishoudens!M12</f>
        <v>0</v>
      </c>
      <c r="O37" s="718">
        <f>huishoudens!N12</f>
        <v>0</v>
      </c>
      <c r="P37" s="718">
        <f>huishoudens!O12</f>
        <v>0</v>
      </c>
      <c r="Q37" s="828">
        <f>huishoudens!P12</f>
        <v>0</v>
      </c>
      <c r="R37" s="917">
        <f ca="1">SUM(C37:Q37)</f>
        <v>19571.522706295931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229.62767869412519</v>
      </c>
      <c r="D39" s="718">
        <f ca="1">industrie!C22</f>
        <v>0</v>
      </c>
      <c r="E39" s="718">
        <f>industrie!D22</f>
        <v>82.118978392000002</v>
      </c>
      <c r="F39" s="718">
        <f>industrie!E22</f>
        <v>29.809833769122989</v>
      </c>
      <c r="G39" s="718">
        <f>industrie!F22</f>
        <v>109.05068896180849</v>
      </c>
      <c r="H39" s="718">
        <f>industrie!G22</f>
        <v>0</v>
      </c>
      <c r="I39" s="718">
        <f>industrie!H22</f>
        <v>0</v>
      </c>
      <c r="J39" s="718">
        <f>industrie!I22</f>
        <v>0</v>
      </c>
      <c r="K39" s="718">
        <f>industrie!J22</f>
        <v>1.4901150608836143E-3</v>
      </c>
      <c r="L39" s="718">
        <f>industrie!K22</f>
        <v>0</v>
      </c>
      <c r="M39" s="718">
        <f>industrie!L22</f>
        <v>0</v>
      </c>
      <c r="N39" s="718">
        <f>industrie!M22</f>
        <v>0</v>
      </c>
      <c r="O39" s="718">
        <f>industrie!N22</f>
        <v>0</v>
      </c>
      <c r="P39" s="718">
        <f>industrie!O22</f>
        <v>0</v>
      </c>
      <c r="Q39" s="828">
        <f>industrie!P22</f>
        <v>0</v>
      </c>
      <c r="R39" s="918">
        <f ca="1">SUM(C39:Q39)</f>
        <v>450.60866993211755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3538.1304106670373</v>
      </c>
      <c r="D41" s="763">
        <f t="shared" ref="D41:R41" ca="1" si="4">SUM(D35:D40)</f>
        <v>0</v>
      </c>
      <c r="E41" s="763">
        <f t="shared" ca="1" si="4"/>
        <v>2379.2490119705999</v>
      </c>
      <c r="F41" s="763">
        <f t="shared" si="4"/>
        <v>1091.6002403760856</v>
      </c>
      <c r="G41" s="763">
        <f t="shared" ca="1" si="4"/>
        <v>13446.330380239158</v>
      </c>
      <c r="H41" s="763">
        <f t="shared" si="4"/>
        <v>0</v>
      </c>
      <c r="I41" s="763">
        <f t="shared" si="4"/>
        <v>0</v>
      </c>
      <c r="J41" s="763">
        <f t="shared" si="4"/>
        <v>0</v>
      </c>
      <c r="K41" s="763">
        <f t="shared" si="4"/>
        <v>733.95336951343063</v>
      </c>
      <c r="L41" s="763">
        <f t="shared" si="4"/>
        <v>0</v>
      </c>
      <c r="M41" s="763">
        <f t="shared" ca="1" si="4"/>
        <v>0</v>
      </c>
      <c r="N41" s="763">
        <f t="shared" si="4"/>
        <v>0</v>
      </c>
      <c r="O41" s="763">
        <f t="shared" ca="1" si="4"/>
        <v>0</v>
      </c>
      <c r="P41" s="763">
        <f t="shared" si="4"/>
        <v>0</v>
      </c>
      <c r="Q41" s="764">
        <f t="shared" si="4"/>
        <v>0</v>
      </c>
      <c r="R41" s="765">
        <f t="shared" ca="1" si="4"/>
        <v>21189.263412766315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153.47878457186846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153.47878457186846</v>
      </c>
    </row>
    <row r="45" spans="1:18" ht="15" thickBot="1">
      <c r="A45" s="888" t="s">
        <v>307</v>
      </c>
      <c r="B45" s="898"/>
      <c r="C45" s="727">
        <f ca="1">transport!B18</f>
        <v>2.4861494583502126</v>
      </c>
      <c r="D45" s="727">
        <f>transport!C18</f>
        <v>0</v>
      </c>
      <c r="E45" s="727">
        <f>transport!D18</f>
        <v>12.978719908819164</v>
      </c>
      <c r="F45" s="727">
        <f>transport!E18</f>
        <v>18.669329110192155</v>
      </c>
      <c r="G45" s="727">
        <f>transport!F18</f>
        <v>0</v>
      </c>
      <c r="H45" s="727">
        <f>transport!G18</f>
        <v>6910.4559376004845</v>
      </c>
      <c r="I45" s="727">
        <f>transport!H18</f>
        <v>1775.9663920246401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8720.5565281024865</v>
      </c>
    </row>
    <row r="46" spans="1:18" ht="15.75" thickBot="1">
      <c r="A46" s="886" t="s">
        <v>230</v>
      </c>
      <c r="B46" s="899"/>
      <c r="C46" s="763">
        <f t="shared" ref="C46:R46" ca="1" si="5">SUM(C43:C45)</f>
        <v>2.4861494583502126</v>
      </c>
      <c r="D46" s="763">
        <f t="shared" ca="1" si="5"/>
        <v>0</v>
      </c>
      <c r="E46" s="763">
        <f t="shared" si="5"/>
        <v>12.978719908819164</v>
      </c>
      <c r="F46" s="763">
        <f t="shared" si="5"/>
        <v>18.669329110192155</v>
      </c>
      <c r="G46" s="763">
        <f t="shared" si="5"/>
        <v>0</v>
      </c>
      <c r="H46" s="763">
        <f t="shared" si="5"/>
        <v>7063.9347221723528</v>
      </c>
      <c r="I46" s="763">
        <f t="shared" si="5"/>
        <v>1775.9663920246401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8874.0353126743557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783.05633814412477</v>
      </c>
      <c r="D48" s="718">
        <f ca="1">+landbouw!C12</f>
        <v>0</v>
      </c>
      <c r="E48" s="718">
        <f>+landbouw!D12</f>
        <v>20.145385260000001</v>
      </c>
      <c r="F48" s="718">
        <f>+landbouw!E12</f>
        <v>28.213422990386711</v>
      </c>
      <c r="G48" s="718">
        <f>+landbouw!F12</f>
        <v>4703.3803331455192</v>
      </c>
      <c r="H48" s="718">
        <f>+landbouw!G12</f>
        <v>0</v>
      </c>
      <c r="I48" s="718">
        <f>+landbouw!H12</f>
        <v>0</v>
      </c>
      <c r="J48" s="718">
        <f>+landbouw!I12</f>
        <v>0</v>
      </c>
      <c r="K48" s="718">
        <f>+landbouw!J12</f>
        <v>216.86650588377728</v>
      </c>
      <c r="L48" s="718">
        <f>+landbouw!K12</f>
        <v>0</v>
      </c>
      <c r="M48" s="718">
        <f>+landbouw!L12</f>
        <v>0</v>
      </c>
      <c r="N48" s="718">
        <f>+landbouw!M12</f>
        <v>0</v>
      </c>
      <c r="O48" s="718">
        <f>+landbouw!N12</f>
        <v>0</v>
      </c>
      <c r="P48" s="718">
        <f>+landbouw!O12</f>
        <v>0</v>
      </c>
      <c r="Q48" s="719">
        <f>+landbouw!P12</f>
        <v>0</v>
      </c>
      <c r="R48" s="761">
        <f ca="1">SUM(C48:Q48)</f>
        <v>5751.6619854238079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4323.6728982695122</v>
      </c>
      <c r="D53" s="773">
        <f t="shared" ref="D53:Q53" ca="1" si="6">D41+D46+D48</f>
        <v>0</v>
      </c>
      <c r="E53" s="773">
        <f t="shared" ca="1" si="6"/>
        <v>2412.3731171394188</v>
      </c>
      <c r="F53" s="773">
        <f t="shared" si="6"/>
        <v>1138.4829924766645</v>
      </c>
      <c r="G53" s="773">
        <f t="shared" ca="1" si="6"/>
        <v>18149.710713384677</v>
      </c>
      <c r="H53" s="773">
        <f t="shared" si="6"/>
        <v>7063.9347221723528</v>
      </c>
      <c r="I53" s="773">
        <f t="shared" si="6"/>
        <v>1775.9663920246401</v>
      </c>
      <c r="J53" s="773">
        <f t="shared" si="6"/>
        <v>0</v>
      </c>
      <c r="K53" s="773">
        <f t="shared" si="6"/>
        <v>950.81987539720785</v>
      </c>
      <c r="L53" s="773">
        <f t="shared" si="6"/>
        <v>0</v>
      </c>
      <c r="M53" s="773">
        <f t="shared" ca="1" si="6"/>
        <v>0</v>
      </c>
      <c r="N53" s="773">
        <f t="shared" si="6"/>
        <v>0</v>
      </c>
      <c r="O53" s="773">
        <f t="shared" ca="1" si="6"/>
        <v>0</v>
      </c>
      <c r="P53" s="773">
        <f>P41+P46+P48</f>
        <v>0</v>
      </c>
      <c r="Q53" s="774">
        <f t="shared" si="6"/>
        <v>0</v>
      </c>
      <c r="R53" s="775">
        <f ca="1">R41+R46+R48</f>
        <v>35814.960710864478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0.18518585200153642</v>
      </c>
      <c r="D55" s="836">
        <f t="shared" ca="1" si="7"/>
        <v>0</v>
      </c>
      <c r="E55" s="836">
        <f t="shared" ca="1" si="7"/>
        <v>0.20199999999999996</v>
      </c>
      <c r="F55" s="836">
        <f t="shared" si="7"/>
        <v>0.22700000000000009</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3783.6188184844596</v>
      </c>
      <c r="C66" s="795">
        <f>'lokale energieproductie'!B6</f>
        <v>3783.6188184844596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3783.6188184844596</v>
      </c>
      <c r="C69" s="803">
        <f>SUM(C64:C68)</f>
        <v>3783.6188184844596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13901.7356211513</v>
      </c>
      <c r="C4" s="478">
        <f>huishoudens!C8</f>
        <v>0</v>
      </c>
      <c r="D4" s="478">
        <f>huishoudens!D8</f>
        <v>10069.1190413</v>
      </c>
      <c r="E4" s="478">
        <f>huishoudens!E8</f>
        <v>4609.2937942120961</v>
      </c>
      <c r="F4" s="478">
        <f>huishoudens!F8</f>
        <v>49374.140282656859</v>
      </c>
      <c r="G4" s="478">
        <f>huishoudens!G8</f>
        <v>0</v>
      </c>
      <c r="H4" s="478">
        <f>huishoudens!H8</f>
        <v>0</v>
      </c>
      <c r="I4" s="478">
        <f>huishoudens!I8</f>
        <v>0</v>
      </c>
      <c r="J4" s="478">
        <f>huishoudens!J8</f>
        <v>2073.3072256914897</v>
      </c>
      <c r="K4" s="478">
        <f>huishoudens!K8</f>
        <v>0</v>
      </c>
      <c r="L4" s="478">
        <f>huishoudens!L8</f>
        <v>0</v>
      </c>
      <c r="M4" s="478">
        <f>huishoudens!M8</f>
        <v>0</v>
      </c>
      <c r="N4" s="478">
        <f>huishoudens!N8</f>
        <v>11519.363553649368</v>
      </c>
      <c r="O4" s="478">
        <f>huishoudens!O8</f>
        <v>159.46</v>
      </c>
      <c r="P4" s="479">
        <f>huishoudens!P8</f>
        <v>629.20000000000005</v>
      </c>
      <c r="Q4" s="480">
        <f>SUM(B4:P4)</f>
        <v>92335.619518661115</v>
      </c>
    </row>
    <row r="5" spans="1:17">
      <c r="A5" s="477" t="s">
        <v>156</v>
      </c>
      <c r="B5" s="478">
        <f ca="1">tertiair!B16</f>
        <v>3304.6918000000001</v>
      </c>
      <c r="C5" s="478">
        <f ca="1">tertiair!C16</f>
        <v>0</v>
      </c>
      <c r="D5" s="478">
        <f ca="1">tertiair!D16</f>
        <v>1302.8118179999999</v>
      </c>
      <c r="E5" s="478">
        <f>tertiair!E16</f>
        <v>68.196983792143598</v>
      </c>
      <c r="F5" s="478">
        <f ca="1">tertiair!F16</f>
        <v>578.21811164032738</v>
      </c>
      <c r="G5" s="478">
        <f>tertiair!G16</f>
        <v>0</v>
      </c>
      <c r="H5" s="478">
        <f>tertiair!H16</f>
        <v>0</v>
      </c>
      <c r="I5" s="478">
        <f>tertiair!I16</f>
        <v>0</v>
      </c>
      <c r="J5" s="478">
        <f>tertiair!J16</f>
        <v>3.1680892161174623E-3</v>
      </c>
      <c r="K5" s="478">
        <f>tertiair!K16</f>
        <v>0</v>
      </c>
      <c r="L5" s="478">
        <f ca="1">tertiair!L16</f>
        <v>0</v>
      </c>
      <c r="M5" s="478">
        <f>tertiair!M16</f>
        <v>0</v>
      </c>
      <c r="N5" s="478">
        <f ca="1">tertiair!N16</f>
        <v>131.51842274242304</v>
      </c>
      <c r="O5" s="478">
        <f>tertiair!O16</f>
        <v>0</v>
      </c>
      <c r="P5" s="479">
        <f>tertiair!P16</f>
        <v>0</v>
      </c>
      <c r="Q5" s="477">
        <f t="shared" ref="Q5:Q13" ca="1" si="0">SUM(B5:P5)</f>
        <v>5385.4403042641097</v>
      </c>
    </row>
    <row r="6" spans="1:17">
      <c r="A6" s="477" t="s">
        <v>194</v>
      </c>
      <c r="B6" s="478">
        <f>'openbare verlichting'!B8</f>
        <v>659.423</v>
      </c>
      <c r="C6" s="478"/>
      <c r="D6" s="478"/>
      <c r="E6" s="478"/>
      <c r="F6" s="478"/>
      <c r="G6" s="478"/>
      <c r="H6" s="478"/>
      <c r="I6" s="478"/>
      <c r="J6" s="478"/>
      <c r="K6" s="478"/>
      <c r="L6" s="478"/>
      <c r="M6" s="478"/>
      <c r="N6" s="478"/>
      <c r="O6" s="478"/>
      <c r="P6" s="479"/>
      <c r="Q6" s="477">
        <f t="shared" si="0"/>
        <v>659.423</v>
      </c>
    </row>
    <row r="7" spans="1:17">
      <c r="A7" s="477" t="s">
        <v>112</v>
      </c>
      <c r="B7" s="478">
        <f>landbouw!B8</f>
        <v>4228.4889999999996</v>
      </c>
      <c r="C7" s="478">
        <f>landbouw!C8</f>
        <v>0</v>
      </c>
      <c r="D7" s="478">
        <f>landbouw!D8</f>
        <v>99.72963</v>
      </c>
      <c r="E7" s="478">
        <f>landbouw!E8</f>
        <v>124.28820700610885</v>
      </c>
      <c r="F7" s="478">
        <f>landbouw!F8</f>
        <v>17615.656678447638</v>
      </c>
      <c r="G7" s="478">
        <f>landbouw!G8</f>
        <v>0</v>
      </c>
      <c r="H7" s="478">
        <f>landbouw!H8</f>
        <v>0</v>
      </c>
      <c r="I7" s="478">
        <f>landbouw!I8</f>
        <v>0</v>
      </c>
      <c r="J7" s="478">
        <f>landbouw!J8</f>
        <v>612.61724825925785</v>
      </c>
      <c r="K7" s="478">
        <f>landbouw!K8</f>
        <v>0</v>
      </c>
      <c r="L7" s="478">
        <f>landbouw!L8</f>
        <v>0</v>
      </c>
      <c r="M7" s="478">
        <f>landbouw!M8</f>
        <v>0</v>
      </c>
      <c r="N7" s="478">
        <f>landbouw!N8</f>
        <v>0</v>
      </c>
      <c r="O7" s="478">
        <f>landbouw!O8</f>
        <v>0</v>
      </c>
      <c r="P7" s="479">
        <f>landbouw!P8</f>
        <v>0</v>
      </c>
      <c r="Q7" s="477">
        <f t="shared" si="0"/>
        <v>22680.780763713006</v>
      </c>
    </row>
    <row r="8" spans="1:17">
      <c r="A8" s="477" t="s">
        <v>635</v>
      </c>
      <c r="B8" s="478">
        <f>industrie!B18</f>
        <v>1239.9850000000001</v>
      </c>
      <c r="C8" s="478">
        <f>industrie!C18</f>
        <v>0</v>
      </c>
      <c r="D8" s="478">
        <f>industrie!D18</f>
        <v>406.52959599999997</v>
      </c>
      <c r="E8" s="478">
        <f>industrie!E18</f>
        <v>131.32085360847131</v>
      </c>
      <c r="F8" s="478">
        <f>industrie!F18</f>
        <v>408.42954667344003</v>
      </c>
      <c r="G8" s="478">
        <f>industrie!G18</f>
        <v>0</v>
      </c>
      <c r="H8" s="478">
        <f>industrie!H18</f>
        <v>0</v>
      </c>
      <c r="I8" s="478">
        <f>industrie!I18</f>
        <v>0</v>
      </c>
      <c r="J8" s="478">
        <f>industrie!J18</f>
        <v>4.2093645787672721E-3</v>
      </c>
      <c r="K8" s="478">
        <f>industrie!K18</f>
        <v>0</v>
      </c>
      <c r="L8" s="478">
        <f>industrie!L18</f>
        <v>0</v>
      </c>
      <c r="M8" s="478">
        <f>industrie!M18</f>
        <v>0</v>
      </c>
      <c r="N8" s="478">
        <f>industrie!N18</f>
        <v>275.00833562024019</v>
      </c>
      <c r="O8" s="478">
        <f>industrie!O18</f>
        <v>0</v>
      </c>
      <c r="P8" s="479">
        <f>industrie!P18</f>
        <v>0</v>
      </c>
      <c r="Q8" s="477">
        <f t="shared" si="0"/>
        <v>2461.2775412667306</v>
      </c>
    </row>
    <row r="9" spans="1:17" s="483" customFormat="1">
      <c r="A9" s="481" t="s">
        <v>561</v>
      </c>
      <c r="B9" s="482">
        <f>transport!B14</f>
        <v>13.425158733668193</v>
      </c>
      <c r="C9" s="482">
        <f>transport!C14</f>
        <v>0</v>
      </c>
      <c r="D9" s="482">
        <f>transport!D14</f>
        <v>64.251088657520611</v>
      </c>
      <c r="E9" s="482">
        <f>transport!E14</f>
        <v>82.243740573533714</v>
      </c>
      <c r="F9" s="482">
        <f>transport!F14</f>
        <v>0</v>
      </c>
      <c r="G9" s="482">
        <f>transport!G14</f>
        <v>25881.857444196568</v>
      </c>
      <c r="H9" s="482">
        <f>transport!H14</f>
        <v>7132.3951486933338</v>
      </c>
      <c r="I9" s="482">
        <f>transport!I14</f>
        <v>0</v>
      </c>
      <c r="J9" s="482">
        <f>transport!J14</f>
        <v>0</v>
      </c>
      <c r="K9" s="482">
        <f>transport!K14</f>
        <v>0</v>
      </c>
      <c r="L9" s="482">
        <f>transport!L14</f>
        <v>0</v>
      </c>
      <c r="M9" s="482">
        <f>transport!M14</f>
        <v>1723.8353562833659</v>
      </c>
      <c r="N9" s="482">
        <f>transport!N14</f>
        <v>0</v>
      </c>
      <c r="O9" s="482">
        <f>transport!O14</f>
        <v>0</v>
      </c>
      <c r="P9" s="482">
        <f>transport!P14</f>
        <v>0</v>
      </c>
      <c r="Q9" s="481">
        <f>SUM(B9:P9)</f>
        <v>34898.007937137991</v>
      </c>
    </row>
    <row r="10" spans="1:17">
      <c r="A10" s="477" t="s">
        <v>551</v>
      </c>
      <c r="B10" s="478">
        <f>transport!B54</f>
        <v>0</v>
      </c>
      <c r="C10" s="478">
        <f>transport!C54</f>
        <v>0</v>
      </c>
      <c r="D10" s="478">
        <f>transport!D54</f>
        <v>0</v>
      </c>
      <c r="E10" s="478">
        <f>transport!E54</f>
        <v>0</v>
      </c>
      <c r="F10" s="478">
        <f>transport!F54</f>
        <v>0</v>
      </c>
      <c r="G10" s="478">
        <f>transport!G54</f>
        <v>574.82690850887059</v>
      </c>
      <c r="H10" s="478">
        <f>transport!H54</f>
        <v>0</v>
      </c>
      <c r="I10" s="478">
        <f>transport!I54</f>
        <v>0</v>
      </c>
      <c r="J10" s="478">
        <f>transport!J54</f>
        <v>0</v>
      </c>
      <c r="K10" s="478">
        <f>transport!K54</f>
        <v>0</v>
      </c>
      <c r="L10" s="478">
        <f>transport!L54</f>
        <v>0</v>
      </c>
      <c r="M10" s="478">
        <f>transport!M54</f>
        <v>32.647630786008335</v>
      </c>
      <c r="N10" s="478">
        <f>transport!N54</f>
        <v>0</v>
      </c>
      <c r="O10" s="478">
        <f>transport!O54</f>
        <v>0</v>
      </c>
      <c r="P10" s="479">
        <f>transport!P54</f>
        <v>0</v>
      </c>
      <c r="Q10" s="477">
        <f t="shared" si="0"/>
        <v>607.47453929487892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23347.74957988497</v>
      </c>
      <c r="C14" s="488">
        <f t="shared" ref="C14:Q14" ca="1" si="1">SUM(C4:C13)</f>
        <v>0</v>
      </c>
      <c r="D14" s="488">
        <f t="shared" ca="1" si="1"/>
        <v>11942.441173957521</v>
      </c>
      <c r="E14" s="488">
        <f t="shared" si="1"/>
        <v>5015.343579192353</v>
      </c>
      <c r="F14" s="488">
        <f t="shared" ca="1" si="1"/>
        <v>67976.444619418267</v>
      </c>
      <c r="G14" s="488">
        <f t="shared" si="1"/>
        <v>26456.684352705441</v>
      </c>
      <c r="H14" s="488">
        <f t="shared" si="1"/>
        <v>7132.3951486933338</v>
      </c>
      <c r="I14" s="488">
        <f t="shared" si="1"/>
        <v>0</v>
      </c>
      <c r="J14" s="488">
        <f t="shared" si="1"/>
        <v>2685.9318514045426</v>
      </c>
      <c r="K14" s="488">
        <f t="shared" si="1"/>
        <v>0</v>
      </c>
      <c r="L14" s="488">
        <f t="shared" ca="1" si="1"/>
        <v>0</v>
      </c>
      <c r="M14" s="488">
        <f t="shared" si="1"/>
        <v>1756.4829870693743</v>
      </c>
      <c r="N14" s="488">
        <f t="shared" ca="1" si="1"/>
        <v>11925.89031201203</v>
      </c>
      <c r="O14" s="488">
        <f t="shared" si="1"/>
        <v>159.46</v>
      </c>
      <c r="P14" s="489">
        <f t="shared" si="1"/>
        <v>629.20000000000005</v>
      </c>
      <c r="Q14" s="489">
        <f t="shared" ca="1" si="1"/>
        <v>159028.0236043378</v>
      </c>
    </row>
    <row r="16" spans="1:17">
      <c r="A16" s="491" t="s">
        <v>556</v>
      </c>
      <c r="B16" s="841">
        <f ca="1">huishoudens!B10</f>
        <v>0.18518585200153645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2574.4047553030118</v>
      </c>
      <c r="C21" s="478">
        <f t="shared" ref="C21:C30" ca="1" si="3">C4*$C$16</f>
        <v>0</v>
      </c>
      <c r="D21" s="478">
        <f t="shared" ref="D21:D30" si="4">D4*$D$16</f>
        <v>2033.9620463426002</v>
      </c>
      <c r="E21" s="478">
        <f t="shared" ref="E21:E30" si="5">E4*$E$16</f>
        <v>1046.3096912861458</v>
      </c>
      <c r="F21" s="478">
        <f t="shared" ref="F21:F30" si="6">F4*$F$16</f>
        <v>13182.895455469383</v>
      </c>
      <c r="G21" s="478">
        <f t="shared" ref="G21:G30" si="7">G4*$G$16</f>
        <v>0</v>
      </c>
      <c r="H21" s="478">
        <f t="shared" ref="H21:H30" si="8">H4*$H$16</f>
        <v>0</v>
      </c>
      <c r="I21" s="478">
        <f t="shared" ref="I21:I30" si="9">I4*$I$16</f>
        <v>0</v>
      </c>
      <c r="J21" s="478">
        <f t="shared" ref="J21:J30" si="10">J4*$J$16</f>
        <v>733.95075789478733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19571.522706295931</v>
      </c>
    </row>
    <row r="22" spans="1:17">
      <c r="A22" s="477" t="s">
        <v>156</v>
      </c>
      <c r="B22" s="478">
        <f t="shared" ca="1" si="2"/>
        <v>611.98216658549109</v>
      </c>
      <c r="C22" s="478">
        <f t="shared" ca="1" si="3"/>
        <v>0</v>
      </c>
      <c r="D22" s="478">
        <f t="shared" ca="1" si="4"/>
        <v>263.16798723599999</v>
      </c>
      <c r="E22" s="478">
        <f t="shared" si="5"/>
        <v>15.480715320816596</v>
      </c>
      <c r="F22" s="478">
        <f t="shared" ca="1" si="6"/>
        <v>154.38423580796743</v>
      </c>
      <c r="G22" s="478">
        <f t="shared" si="7"/>
        <v>0</v>
      </c>
      <c r="H22" s="478">
        <f t="shared" si="8"/>
        <v>0</v>
      </c>
      <c r="I22" s="478">
        <f t="shared" si="9"/>
        <v>0</v>
      </c>
      <c r="J22" s="478">
        <f t="shared" si="10"/>
        <v>1.1215035825055816E-3</v>
      </c>
      <c r="K22" s="478">
        <f t="shared" si="11"/>
        <v>0</v>
      </c>
      <c r="L22" s="478">
        <f t="shared" ca="1" si="12"/>
        <v>0</v>
      </c>
      <c r="M22" s="478">
        <f t="shared" si="13"/>
        <v>0</v>
      </c>
      <c r="N22" s="478">
        <f t="shared" ca="1" si="14"/>
        <v>0</v>
      </c>
      <c r="O22" s="478">
        <f t="shared" si="15"/>
        <v>0</v>
      </c>
      <c r="P22" s="479">
        <f t="shared" si="16"/>
        <v>0</v>
      </c>
      <c r="Q22" s="477">
        <f t="shared" ref="Q22:Q30" ca="1" si="17">SUM(B22:P22)</f>
        <v>1045.0162264538576</v>
      </c>
    </row>
    <row r="23" spans="1:17">
      <c r="A23" s="477" t="s">
        <v>194</v>
      </c>
      <c r="B23" s="478">
        <f t="shared" ca="1" si="2"/>
        <v>122.11581008440918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122.11581008440918</v>
      </c>
    </row>
    <row r="24" spans="1:17">
      <c r="A24" s="477" t="s">
        <v>112</v>
      </c>
      <c r="B24" s="478">
        <f t="shared" ca="1" si="2"/>
        <v>783.05633814412477</v>
      </c>
      <c r="C24" s="478">
        <f t="shared" ca="1" si="3"/>
        <v>0</v>
      </c>
      <c r="D24" s="478">
        <f t="shared" si="4"/>
        <v>20.145385260000001</v>
      </c>
      <c r="E24" s="478">
        <f t="shared" si="5"/>
        <v>28.213422990386711</v>
      </c>
      <c r="F24" s="478">
        <f t="shared" si="6"/>
        <v>4703.3803331455192</v>
      </c>
      <c r="G24" s="478">
        <f t="shared" si="7"/>
        <v>0</v>
      </c>
      <c r="H24" s="478">
        <f t="shared" si="8"/>
        <v>0</v>
      </c>
      <c r="I24" s="478">
        <f t="shared" si="9"/>
        <v>0</v>
      </c>
      <c r="J24" s="478">
        <f t="shared" si="10"/>
        <v>216.86650588377728</v>
      </c>
      <c r="K24" s="478">
        <f t="shared" si="11"/>
        <v>0</v>
      </c>
      <c r="L24" s="478">
        <f t="shared" si="12"/>
        <v>0</v>
      </c>
      <c r="M24" s="478">
        <f t="shared" si="13"/>
        <v>0</v>
      </c>
      <c r="N24" s="478">
        <f t="shared" si="14"/>
        <v>0</v>
      </c>
      <c r="O24" s="478">
        <f t="shared" si="15"/>
        <v>0</v>
      </c>
      <c r="P24" s="479">
        <f t="shared" si="16"/>
        <v>0</v>
      </c>
      <c r="Q24" s="477">
        <f t="shared" ca="1" si="17"/>
        <v>5751.6619854238079</v>
      </c>
    </row>
    <row r="25" spans="1:17">
      <c r="A25" s="477" t="s">
        <v>635</v>
      </c>
      <c r="B25" s="478">
        <f t="shared" ca="1" si="2"/>
        <v>229.62767869412519</v>
      </c>
      <c r="C25" s="478">
        <f t="shared" ca="1" si="3"/>
        <v>0</v>
      </c>
      <c r="D25" s="478">
        <f t="shared" si="4"/>
        <v>82.118978392000002</v>
      </c>
      <c r="E25" s="478">
        <f t="shared" si="5"/>
        <v>29.809833769122989</v>
      </c>
      <c r="F25" s="478">
        <f t="shared" si="6"/>
        <v>109.05068896180849</v>
      </c>
      <c r="G25" s="478">
        <f t="shared" si="7"/>
        <v>0</v>
      </c>
      <c r="H25" s="478">
        <f t="shared" si="8"/>
        <v>0</v>
      </c>
      <c r="I25" s="478">
        <f t="shared" si="9"/>
        <v>0</v>
      </c>
      <c r="J25" s="478">
        <f t="shared" si="10"/>
        <v>1.4901150608836143E-3</v>
      </c>
      <c r="K25" s="478">
        <f t="shared" si="11"/>
        <v>0</v>
      </c>
      <c r="L25" s="478">
        <f t="shared" si="12"/>
        <v>0</v>
      </c>
      <c r="M25" s="478">
        <f t="shared" si="13"/>
        <v>0</v>
      </c>
      <c r="N25" s="478">
        <f t="shared" si="14"/>
        <v>0</v>
      </c>
      <c r="O25" s="478">
        <f t="shared" si="15"/>
        <v>0</v>
      </c>
      <c r="P25" s="479">
        <f t="shared" si="16"/>
        <v>0</v>
      </c>
      <c r="Q25" s="477">
        <f t="shared" ca="1" si="17"/>
        <v>450.60866993211755</v>
      </c>
    </row>
    <row r="26" spans="1:17" s="483" customFormat="1">
      <c r="A26" s="481" t="s">
        <v>561</v>
      </c>
      <c r="B26" s="835">
        <f t="shared" ca="1" si="2"/>
        <v>2.4861494583502126</v>
      </c>
      <c r="C26" s="482">
        <f t="shared" ca="1" si="3"/>
        <v>0</v>
      </c>
      <c r="D26" s="482">
        <f t="shared" si="4"/>
        <v>12.978719908819164</v>
      </c>
      <c r="E26" s="482">
        <f t="shared" si="5"/>
        <v>18.669329110192155</v>
      </c>
      <c r="F26" s="482">
        <f t="shared" si="6"/>
        <v>0</v>
      </c>
      <c r="G26" s="482">
        <f t="shared" si="7"/>
        <v>6910.4559376004845</v>
      </c>
      <c r="H26" s="482">
        <f t="shared" si="8"/>
        <v>1775.9663920246401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8720.5565281024865</v>
      </c>
    </row>
    <row r="27" spans="1:17">
      <c r="A27" s="477" t="s">
        <v>551</v>
      </c>
      <c r="B27" s="478">
        <f t="shared" ca="1" si="2"/>
        <v>0</v>
      </c>
      <c r="C27" s="478">
        <f t="shared" ca="1" si="3"/>
        <v>0</v>
      </c>
      <c r="D27" s="478">
        <f t="shared" si="4"/>
        <v>0</v>
      </c>
      <c r="E27" s="478">
        <f t="shared" si="5"/>
        <v>0</v>
      </c>
      <c r="F27" s="478">
        <f t="shared" si="6"/>
        <v>0</v>
      </c>
      <c r="G27" s="478">
        <f t="shared" si="7"/>
        <v>153.47878457186846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153.47878457186846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4323.6728982695122</v>
      </c>
      <c r="C31" s="488">
        <f t="shared" ca="1" si="18"/>
        <v>0</v>
      </c>
      <c r="D31" s="488">
        <f t="shared" ca="1" si="18"/>
        <v>2412.3731171394188</v>
      </c>
      <c r="E31" s="488">
        <f t="shared" si="18"/>
        <v>1138.4829924766645</v>
      </c>
      <c r="F31" s="488">
        <f t="shared" ca="1" si="18"/>
        <v>18149.710713384677</v>
      </c>
      <c r="G31" s="488">
        <f t="shared" si="18"/>
        <v>7063.9347221723528</v>
      </c>
      <c r="H31" s="488">
        <f t="shared" si="18"/>
        <v>1775.9663920246401</v>
      </c>
      <c r="I31" s="488">
        <f t="shared" si="18"/>
        <v>0</v>
      </c>
      <c r="J31" s="488">
        <f t="shared" si="18"/>
        <v>950.81987539720797</v>
      </c>
      <c r="K31" s="488">
        <f t="shared" si="18"/>
        <v>0</v>
      </c>
      <c r="L31" s="488">
        <f t="shared" ca="1" si="18"/>
        <v>0</v>
      </c>
      <c r="M31" s="488">
        <f t="shared" si="18"/>
        <v>0</v>
      </c>
      <c r="N31" s="488">
        <f t="shared" ca="1" si="18"/>
        <v>0</v>
      </c>
      <c r="O31" s="488">
        <f t="shared" si="18"/>
        <v>0</v>
      </c>
      <c r="P31" s="489">
        <f t="shared" si="18"/>
        <v>0</v>
      </c>
      <c r="Q31" s="489">
        <f t="shared" ca="1" si="18"/>
        <v>35814.960710864478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0.18518585200153645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0.18518585200153645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0.18518585200153645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3204</v>
      </c>
      <c r="C9" s="342">
        <v>3241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3136.29</v>
      </c>
    </row>
    <row r="15" spans="1:6">
      <c r="A15" s="348" t="s">
        <v>184</v>
      </c>
      <c r="B15" s="334">
        <v>17</v>
      </c>
    </row>
    <row r="16" spans="1:6">
      <c r="A16" s="348" t="s">
        <v>6</v>
      </c>
      <c r="B16" s="334">
        <v>604</v>
      </c>
    </row>
    <row r="17" spans="1:6">
      <c r="A17" s="348" t="s">
        <v>7</v>
      </c>
      <c r="B17" s="334">
        <v>681</v>
      </c>
    </row>
    <row r="18" spans="1:6">
      <c r="A18" s="348" t="s">
        <v>8</v>
      </c>
      <c r="B18" s="334">
        <v>925</v>
      </c>
    </row>
    <row r="19" spans="1:6">
      <c r="A19" s="348" t="s">
        <v>9</v>
      </c>
      <c r="B19" s="334">
        <v>783</v>
      </c>
    </row>
    <row r="20" spans="1:6">
      <c r="A20" s="348" t="s">
        <v>10</v>
      </c>
      <c r="B20" s="334">
        <v>436</v>
      </c>
    </row>
    <row r="21" spans="1:6">
      <c r="A21" s="348" t="s">
        <v>11</v>
      </c>
      <c r="B21" s="334">
        <v>4498</v>
      </c>
    </row>
    <row r="22" spans="1:6">
      <c r="A22" s="348" t="s">
        <v>12</v>
      </c>
      <c r="B22" s="334">
        <v>8637</v>
      </c>
    </row>
    <row r="23" spans="1:6">
      <c r="A23" s="348" t="s">
        <v>13</v>
      </c>
      <c r="B23" s="334">
        <v>274</v>
      </c>
    </row>
    <row r="24" spans="1:6">
      <c r="A24" s="348" t="s">
        <v>14</v>
      </c>
      <c r="B24" s="334">
        <v>22</v>
      </c>
    </row>
    <row r="25" spans="1:6">
      <c r="A25" s="348" t="s">
        <v>15</v>
      </c>
      <c r="B25" s="334">
        <v>1015</v>
      </c>
    </row>
    <row r="26" spans="1:6">
      <c r="A26" s="348" t="s">
        <v>16</v>
      </c>
      <c r="B26" s="334">
        <v>171</v>
      </c>
    </row>
    <row r="27" spans="1:6">
      <c r="A27" s="348" t="s">
        <v>17</v>
      </c>
      <c r="B27" s="334">
        <v>559</v>
      </c>
    </row>
    <row r="28" spans="1:6" s="356" customFormat="1">
      <c r="A28" s="355" t="s">
        <v>18</v>
      </c>
      <c r="B28" s="355">
        <v>0</v>
      </c>
    </row>
    <row r="29" spans="1:6">
      <c r="A29" s="355" t="s">
        <v>744</v>
      </c>
      <c r="B29" s="355">
        <v>145</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8796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639</v>
      </c>
      <c r="D39" s="334">
        <v>11163103.15</v>
      </c>
      <c r="E39" s="334">
        <v>3072</v>
      </c>
      <c r="F39" s="334">
        <v>11274658.15</v>
      </c>
    </row>
    <row r="40" spans="1:6">
      <c r="A40" s="348" t="s">
        <v>30</v>
      </c>
      <c r="B40" s="348" t="s">
        <v>29</v>
      </c>
      <c r="C40" s="334">
        <v>0</v>
      </c>
      <c r="D40" s="334">
        <v>0</v>
      </c>
      <c r="E40" s="334">
        <v>0</v>
      </c>
      <c r="F40" s="334">
        <v>0</v>
      </c>
    </row>
    <row r="41" spans="1:6">
      <c r="A41" s="348" t="s">
        <v>32</v>
      </c>
      <c r="B41" s="348" t="s">
        <v>33</v>
      </c>
      <c r="C41" s="334">
        <v>12</v>
      </c>
      <c r="D41" s="334">
        <v>323127</v>
      </c>
      <c r="E41" s="334">
        <v>66</v>
      </c>
      <c r="F41" s="334">
        <v>442197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48667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27217</v>
      </c>
    </row>
    <row r="48" spans="1:6">
      <c r="A48" s="348" t="s">
        <v>32</v>
      </c>
      <c r="B48" s="348" t="s">
        <v>29</v>
      </c>
      <c r="C48" s="334">
        <v>0</v>
      </c>
      <c r="D48" s="334">
        <v>0</v>
      </c>
      <c r="E48" s="334">
        <v>0</v>
      </c>
      <c r="F48" s="334">
        <v>0</v>
      </c>
    </row>
    <row r="49" spans="1:6">
      <c r="A49" s="348" t="s">
        <v>32</v>
      </c>
      <c r="B49" s="348" t="s">
        <v>40</v>
      </c>
      <c r="C49" s="334">
        <v>0</v>
      </c>
      <c r="D49" s="334">
        <v>0</v>
      </c>
      <c r="E49" s="334">
        <v>3</v>
      </c>
      <c r="F49" s="334">
        <v>52437</v>
      </c>
    </row>
    <row r="50" spans="1:6">
      <c r="A50" s="348" t="s">
        <v>32</v>
      </c>
      <c r="B50" s="348" t="s">
        <v>41</v>
      </c>
      <c r="C50" s="334">
        <v>4</v>
      </c>
      <c r="D50" s="334">
        <v>127571</v>
      </c>
      <c r="E50" s="334">
        <v>10</v>
      </c>
      <c r="F50" s="334">
        <v>669467</v>
      </c>
    </row>
    <row r="51" spans="1:6">
      <c r="A51" s="348" t="s">
        <v>42</v>
      </c>
      <c r="B51" s="348" t="s">
        <v>43</v>
      </c>
      <c r="C51" s="334">
        <v>3</v>
      </c>
      <c r="D51" s="334">
        <v>110565</v>
      </c>
      <c r="E51" s="334">
        <v>123</v>
      </c>
      <c r="F51" s="334">
        <v>4228489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659423</v>
      </c>
    </row>
    <row r="55" spans="1:6">
      <c r="A55" s="348" t="s">
        <v>46</v>
      </c>
      <c r="B55" s="348" t="s">
        <v>29</v>
      </c>
      <c r="C55" s="334">
        <v>0</v>
      </c>
      <c r="D55" s="334">
        <v>0</v>
      </c>
      <c r="E55" s="334">
        <v>0</v>
      </c>
      <c r="F55" s="334">
        <v>0</v>
      </c>
    </row>
    <row r="56" spans="1:6">
      <c r="A56" s="348" t="s">
        <v>48</v>
      </c>
      <c r="B56" s="348" t="s">
        <v>29</v>
      </c>
      <c r="C56" s="334">
        <v>3</v>
      </c>
      <c r="D56" s="334">
        <v>406340</v>
      </c>
      <c r="E56" s="334">
        <v>6</v>
      </c>
      <c r="F56" s="334">
        <v>144873</v>
      </c>
    </row>
    <row r="57" spans="1:6">
      <c r="A57" s="348" t="s">
        <v>49</v>
      </c>
      <c r="B57" s="348" t="s">
        <v>50</v>
      </c>
      <c r="C57" s="334">
        <v>4</v>
      </c>
      <c r="D57" s="334">
        <v>75281</v>
      </c>
      <c r="E57" s="334">
        <v>29</v>
      </c>
      <c r="F57" s="334">
        <v>145954</v>
      </c>
    </row>
    <row r="58" spans="1:6">
      <c r="A58" s="348" t="s">
        <v>49</v>
      </c>
      <c r="B58" s="348" t="s">
        <v>51</v>
      </c>
      <c r="C58" s="334">
        <v>0</v>
      </c>
      <c r="D58" s="334">
        <v>0</v>
      </c>
      <c r="E58" s="334">
        <v>8</v>
      </c>
      <c r="F58" s="334">
        <v>274903</v>
      </c>
    </row>
    <row r="59" spans="1:6">
      <c r="A59" s="348" t="s">
        <v>49</v>
      </c>
      <c r="B59" s="348" t="s">
        <v>52</v>
      </c>
      <c r="C59" s="334">
        <v>10</v>
      </c>
      <c r="D59" s="334">
        <v>361715</v>
      </c>
      <c r="E59" s="334">
        <v>63</v>
      </c>
      <c r="F59" s="334">
        <v>1727986</v>
      </c>
    </row>
    <row r="60" spans="1:6">
      <c r="A60" s="348" t="s">
        <v>49</v>
      </c>
      <c r="B60" s="348" t="s">
        <v>53</v>
      </c>
      <c r="C60" s="334">
        <v>7</v>
      </c>
      <c r="D60" s="334">
        <v>150993</v>
      </c>
      <c r="E60" s="334">
        <v>26</v>
      </c>
      <c r="F60" s="334">
        <v>341001</v>
      </c>
    </row>
    <row r="61" spans="1:6">
      <c r="A61" s="348" t="s">
        <v>49</v>
      </c>
      <c r="B61" s="348" t="s">
        <v>54</v>
      </c>
      <c r="C61" s="334">
        <v>26</v>
      </c>
      <c r="D61" s="334">
        <v>856370</v>
      </c>
      <c r="E61" s="334">
        <v>87</v>
      </c>
      <c r="F61" s="334">
        <v>785423.8</v>
      </c>
    </row>
    <row r="62" spans="1:6">
      <c r="A62" s="348" t="s">
        <v>49</v>
      </c>
      <c r="B62" s="348" t="s">
        <v>55</v>
      </c>
      <c r="C62" s="334">
        <v>0</v>
      </c>
      <c r="D62" s="334">
        <v>0</v>
      </c>
      <c r="E62" s="334">
        <v>4</v>
      </c>
      <c r="F62" s="334">
        <v>29424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59612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8001233</v>
      </c>
      <c r="E73" s="476">
        <v>8127602.7429214306</v>
      </c>
    </row>
    <row r="74" spans="1:6">
      <c r="A74" s="348" t="s">
        <v>64</v>
      </c>
      <c r="B74" s="348" t="s">
        <v>657</v>
      </c>
      <c r="C74" s="1213" t="s">
        <v>659</v>
      </c>
      <c r="D74" s="476">
        <v>1342419.3761848435</v>
      </c>
      <c r="E74" s="476">
        <v>1378932.2017877644</v>
      </c>
    </row>
    <row r="75" spans="1:6">
      <c r="A75" s="348" t="s">
        <v>65</v>
      </c>
      <c r="B75" s="348" t="s">
        <v>656</v>
      </c>
      <c r="C75" s="1213" t="s">
        <v>660</v>
      </c>
      <c r="D75" s="476">
        <v>26124455</v>
      </c>
      <c r="E75" s="476">
        <v>26503338.018591747</v>
      </c>
    </row>
    <row r="76" spans="1:6">
      <c r="A76" s="348" t="s">
        <v>65</v>
      </c>
      <c r="B76" s="348" t="s">
        <v>657</v>
      </c>
      <c r="C76" s="1213" t="s">
        <v>661</v>
      </c>
      <c r="D76" s="476">
        <v>699870.37618484336</v>
      </c>
      <c r="E76" s="476">
        <v>712852.8197141327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164757.24763031327</v>
      </c>
      <c r="C83" s="476">
        <v>164981.45786567865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2627.0774711512986</v>
      </c>
    </row>
    <row r="92" spans="1:6">
      <c r="A92" s="341" t="s">
        <v>69</v>
      </c>
      <c r="B92" s="342">
        <v>1156.5413473331612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23347.74957988497</v>
      </c>
      <c r="C3" s="43" t="s">
        <v>170</v>
      </c>
      <c r="D3" s="43"/>
      <c r="E3" s="154"/>
      <c r="F3" s="43"/>
      <c r="G3" s="43"/>
      <c r="H3" s="43"/>
      <c r="I3" s="43"/>
      <c r="J3" s="43"/>
      <c r="K3" s="96"/>
    </row>
    <row r="4" spans="1:11">
      <c r="A4" s="383" t="s">
        <v>171</v>
      </c>
      <c r="B4" s="49">
        <f>IF(ISERROR('SEAP template'!B69),0,'SEAP template'!B69)</f>
        <v>3783.6188184844596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0.18518585200153645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659.423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659.423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0.18518585200153645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122.11581008440918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11274.658150000001</v>
      </c>
      <c r="C5" s="17">
        <f>IF(ISERROR('Eigen informatie GS &amp; warmtenet'!B57),0,'Eigen informatie GS &amp; warmtenet'!B57)</f>
        <v>0</v>
      </c>
      <c r="D5" s="30">
        <f>(SUM(HH_hh_gas_kWh,HH_rest_gas_kWh)/1000)*0.902</f>
        <v>10069.1190413</v>
      </c>
      <c r="E5" s="17">
        <f>B46*B57</f>
        <v>4609.2937942120961</v>
      </c>
      <c r="F5" s="17">
        <f>B51*B62</f>
        <v>49374.140282656859</v>
      </c>
      <c r="G5" s="18"/>
      <c r="H5" s="17"/>
      <c r="I5" s="17"/>
      <c r="J5" s="17">
        <f>B50*B61+C50*C61</f>
        <v>2073.3072256914897</v>
      </c>
      <c r="K5" s="17"/>
      <c r="L5" s="17"/>
      <c r="M5" s="17"/>
      <c r="N5" s="17">
        <f>B48*B59+C48*C59</f>
        <v>11519.363553649368</v>
      </c>
      <c r="O5" s="17">
        <f>B69*B70*B71</f>
        <v>159.46</v>
      </c>
      <c r="P5" s="17">
        <f>B77*B78*B79/1000-B77*B78*B79/1000/B80</f>
        <v>629.20000000000005</v>
      </c>
    </row>
    <row r="6" spans="1:16">
      <c r="A6" s="16" t="s">
        <v>621</v>
      </c>
      <c r="B6" s="843">
        <f>kWh_PV_kleiner_dan_10kW</f>
        <v>2627.0774711512986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13901.7356211513</v>
      </c>
      <c r="C8" s="21">
        <f>C5</f>
        <v>0</v>
      </c>
      <c r="D8" s="21">
        <f>D5</f>
        <v>10069.1190413</v>
      </c>
      <c r="E8" s="21">
        <f>E5</f>
        <v>4609.2937942120961</v>
      </c>
      <c r="F8" s="21">
        <f>F5</f>
        <v>49374.140282656859</v>
      </c>
      <c r="G8" s="21"/>
      <c r="H8" s="21"/>
      <c r="I8" s="21"/>
      <c r="J8" s="21">
        <f>J5</f>
        <v>2073.3072256914897</v>
      </c>
      <c r="K8" s="21"/>
      <c r="L8" s="21">
        <f>L5</f>
        <v>0</v>
      </c>
      <c r="M8" s="21">
        <f>M5</f>
        <v>0</v>
      </c>
      <c r="N8" s="21">
        <f>N5</f>
        <v>11519.363553649368</v>
      </c>
      <c r="O8" s="21">
        <f>O5</f>
        <v>159.46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0.18518585200153645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2574.4047553030118</v>
      </c>
      <c r="C12" s="23">
        <f ca="1">C10*C8</f>
        <v>0</v>
      </c>
      <c r="D12" s="23">
        <f>D8*D10</f>
        <v>2033.9620463426002</v>
      </c>
      <c r="E12" s="23">
        <f>E10*E8</f>
        <v>1046.3096912861458</v>
      </c>
      <c r="F12" s="23">
        <f>F10*F8</f>
        <v>13182.895455469383</v>
      </c>
      <c r="G12" s="23"/>
      <c r="H12" s="23"/>
      <c r="I12" s="23"/>
      <c r="J12" s="23">
        <f>J10*J8</f>
        <v>733.95075789478733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3204</v>
      </c>
      <c r="C28" s="36"/>
      <c r="D28" s="228"/>
    </row>
    <row r="29" spans="1:7" s="15" customFormat="1">
      <c r="A29" s="230" t="s">
        <v>795</v>
      </c>
      <c r="B29" s="37">
        <f>SUM(HH_hh_gas_aantal,HH_rest_gas_aantal)</f>
        <v>639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639</v>
      </c>
      <c r="C32" s="167">
        <f>IF(ISERROR(B32/SUM($B$32,$B$34,$B$35,$B$36,$B$38,$B$39)*100),0,B32/SUM($B$32,$B$34,$B$35,$B$36,$B$38,$B$39)*100)</f>
        <v>20.151371807000945</v>
      </c>
      <c r="D32" s="233"/>
      <c r="G32" s="15"/>
    </row>
    <row r="33" spans="1:7">
      <c r="A33" s="171" t="s">
        <v>72</v>
      </c>
      <c r="B33" s="34" t="s">
        <v>111</v>
      </c>
      <c r="C33" s="167"/>
      <c r="D33" s="233"/>
      <c r="G33" s="15"/>
    </row>
    <row r="34" spans="1:7">
      <c r="A34" s="171" t="s">
        <v>73</v>
      </c>
      <c r="B34" s="33">
        <f>IF((($B$28-$B$32-$B$39-$B$77-$B$38)*C20/100)&lt;0,0,($B$28-$B$32-$B$39-$B$77-$B$38)*C20/100)</f>
        <v>217.69230769230779</v>
      </c>
      <c r="C34" s="167">
        <f>IF(ISERROR(B34/SUM($B$32,$B$34,$B$35,$B$36,$B$38,$B$39)*100),0,B34/SUM($B$32,$B$34,$B$35,$B$36,$B$38,$B$39)*100)</f>
        <v>6.8650995803313712</v>
      </c>
      <c r="D34" s="233"/>
      <c r="G34" s="15"/>
    </row>
    <row r="35" spans="1:7">
      <c r="A35" s="171" t="s">
        <v>74</v>
      </c>
      <c r="B35" s="33">
        <f>IF((($B$28-$B$32-$B$39-$B$77-$B$38)*C21/100)&lt;0,0,($B$28-$B$32-$B$39-$B$77-$B$38)*C21/100)</f>
        <v>188.66666666666671</v>
      </c>
      <c r="C35" s="167">
        <f>IF(ISERROR(B35/SUM($B$32,$B$34,$B$35,$B$36,$B$38,$B$39)*100),0,B35/SUM($B$32,$B$34,$B$35,$B$36,$B$38,$B$39)*100)</f>
        <v>5.9497529696205209</v>
      </c>
      <c r="D35" s="233"/>
      <c r="G35" s="15"/>
    </row>
    <row r="36" spans="1:7">
      <c r="A36" s="171" t="s">
        <v>75</v>
      </c>
      <c r="B36" s="33">
        <f>IF((($B$28-$B$32-$B$39-$B$77-$B$38)*C22/100)&lt;0,0,($B$28-$B$32-$B$39-$B$77-$B$38)*C22/100)</f>
        <v>159.64102564102569</v>
      </c>
      <c r="C36" s="167">
        <f>IF(ISERROR(B36/SUM($B$32,$B$34,$B$35,$B$36,$B$38,$B$39)*100),0,B36/SUM($B$32,$B$34,$B$35,$B$36,$B$38,$B$39)*100)</f>
        <v>5.0344063589096715</v>
      </c>
      <c r="D36" s="233"/>
      <c r="G36" s="15"/>
    </row>
    <row r="37" spans="1:7">
      <c r="A37" s="171" t="s">
        <v>76</v>
      </c>
      <c r="B37" s="34" t="s">
        <v>111</v>
      </c>
      <c r="C37" s="167"/>
      <c r="D37" s="173"/>
      <c r="G37" s="15"/>
    </row>
    <row r="38" spans="1:7">
      <c r="A38" s="171" t="s">
        <v>77</v>
      </c>
      <c r="B38" s="33">
        <f>IF((B24-(B29-B18)*0.1)&lt;0,0,B24-(B29-B18)*0.1)</f>
        <v>58.8</v>
      </c>
      <c r="C38" s="167">
        <f>IF(ISERROR(B38/SUM($B$32,$B$34,$B$35,$B$36,$B$38,$B$39)*100),0,B38/SUM($B$32,$B$34,$B$35,$B$36,$B$38,$B$39)*100)</f>
        <v>1.8543046357615893</v>
      </c>
      <c r="D38" s="234"/>
      <c r="G38" s="15"/>
    </row>
    <row r="39" spans="1:7">
      <c r="A39" s="171" t="s">
        <v>78</v>
      </c>
      <c r="B39" s="33">
        <f>IF((B25-(B29-B18))&lt;0,0,B25-(B29-B18)*0.9)</f>
        <v>1907.1999999999998</v>
      </c>
      <c r="C39" s="167">
        <f>IF(ISERROR(B39/SUM($B$32,$B$34,$B$35,$B$36,$B$38,$B$39)*100),0,B39/SUM($B$32,$B$34,$B$35,$B$36,$B$38,$B$39)*100)</f>
        <v>60.1450646483759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639</v>
      </c>
      <c r="C44" s="34" t="s">
        <v>111</v>
      </c>
      <c r="D44" s="174"/>
    </row>
    <row r="45" spans="1:7">
      <c r="A45" s="171" t="s">
        <v>72</v>
      </c>
      <c r="B45" s="33" t="str">
        <f t="shared" si="0"/>
        <v>-</v>
      </c>
      <c r="C45" s="34" t="s">
        <v>111</v>
      </c>
      <c r="D45" s="174"/>
    </row>
    <row r="46" spans="1:7">
      <c r="A46" s="171" t="s">
        <v>73</v>
      </c>
      <c r="B46" s="33">
        <f t="shared" si="0"/>
        <v>217.69230769230779</v>
      </c>
      <c r="C46" s="34" t="s">
        <v>111</v>
      </c>
      <c r="D46" s="174"/>
    </row>
    <row r="47" spans="1:7">
      <c r="A47" s="171" t="s">
        <v>74</v>
      </c>
      <c r="B47" s="33">
        <f t="shared" si="0"/>
        <v>188.66666666666671</v>
      </c>
      <c r="C47" s="34" t="s">
        <v>111</v>
      </c>
      <c r="D47" s="174"/>
    </row>
    <row r="48" spans="1:7">
      <c r="A48" s="171" t="s">
        <v>75</v>
      </c>
      <c r="B48" s="33">
        <f t="shared" si="0"/>
        <v>159.64102564102569</v>
      </c>
      <c r="C48" s="33">
        <f>B48*10</f>
        <v>1596.4102564102568</v>
      </c>
      <c r="D48" s="234"/>
    </row>
    <row r="49" spans="1:6">
      <c r="A49" s="171" t="s">
        <v>76</v>
      </c>
      <c r="B49" s="33" t="str">
        <f t="shared" si="0"/>
        <v>-</v>
      </c>
      <c r="C49" s="34" t="s">
        <v>111</v>
      </c>
      <c r="D49" s="234"/>
    </row>
    <row r="50" spans="1:6">
      <c r="A50" s="171" t="s">
        <v>77</v>
      </c>
      <c r="B50" s="33">
        <f t="shared" si="0"/>
        <v>58.8</v>
      </c>
      <c r="C50" s="33">
        <f>B50*2</f>
        <v>117.6</v>
      </c>
      <c r="D50" s="234"/>
    </row>
    <row r="51" spans="1:6">
      <c r="A51" s="171" t="s">
        <v>78</v>
      </c>
      <c r="B51" s="33">
        <f t="shared" si="0"/>
        <v>1907.1999999999998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3304.6918000000001</v>
      </c>
      <c r="C5" s="17">
        <f>IF(ISERROR('Eigen informatie GS &amp; warmtenet'!B58),0,'Eigen informatie GS &amp; warmtenet'!B58)</f>
        <v>0</v>
      </c>
      <c r="D5" s="30">
        <f>SUM(D6:D12)</f>
        <v>1302.8118179999999</v>
      </c>
      <c r="E5" s="17">
        <f>SUM(E6:E12)</f>
        <v>68.196983792143598</v>
      </c>
      <c r="F5" s="17">
        <f>SUM(F6:F12)</f>
        <v>578.21811164032738</v>
      </c>
      <c r="G5" s="18"/>
      <c r="H5" s="17"/>
      <c r="I5" s="17"/>
      <c r="J5" s="17">
        <f>SUM(J6:J12)</f>
        <v>3.1680892161174623E-3</v>
      </c>
      <c r="K5" s="17"/>
      <c r="L5" s="17"/>
      <c r="M5" s="17"/>
      <c r="N5" s="17">
        <f>SUM(N6:N12)</f>
        <v>131.51842274242304</v>
      </c>
      <c r="O5" s="17">
        <f>B38*B39*B40</f>
        <v>0</v>
      </c>
      <c r="P5" s="17">
        <f>B46*B47*B48/1000-B46*B47*B48/1000/B49</f>
        <v>0</v>
      </c>
      <c r="R5" s="32"/>
    </row>
    <row r="6" spans="1:18">
      <c r="A6" s="32" t="s">
        <v>54</v>
      </c>
      <c r="B6" s="37">
        <f>B26</f>
        <v>785.42380000000003</v>
      </c>
      <c r="C6" s="33"/>
      <c r="D6" s="37">
        <f>IF(ISERROR(TER_kantoor_gas_kWh/1000),0,TER_kantoor_gas_kWh/1000)*0.902</f>
        <v>772.44574</v>
      </c>
      <c r="E6" s="33">
        <f>$C$26*'E Balans VL '!I12/100/3.6*1000000</f>
        <v>4.9227751505366239E-3</v>
      </c>
      <c r="F6" s="33">
        <f>$C$26*('E Balans VL '!L12+'E Balans VL '!N12)/100/3.6*1000000</f>
        <v>118.02725030587588</v>
      </c>
      <c r="G6" s="34"/>
      <c r="H6" s="33"/>
      <c r="I6" s="33"/>
      <c r="J6" s="33">
        <f>$C$26*('E Balans VL '!D12+'E Balans VL '!E12)/100/3.6*1000000</f>
        <v>0</v>
      </c>
      <c r="K6" s="33"/>
      <c r="L6" s="33"/>
      <c r="M6" s="33"/>
      <c r="N6" s="33">
        <f>$C$26*'E Balans VL '!Y12/100/3.6*1000000</f>
        <v>0.75114141284173808</v>
      </c>
      <c r="O6" s="33"/>
      <c r="P6" s="33"/>
      <c r="R6" s="32"/>
    </row>
    <row r="7" spans="1:18">
      <c r="A7" s="32" t="s">
        <v>53</v>
      </c>
      <c r="B7" s="37">
        <f t="shared" ref="B7:B12" si="0">B27</f>
        <v>341.00099999999998</v>
      </c>
      <c r="C7" s="33"/>
      <c r="D7" s="37">
        <f>IF(ISERROR(TER_horeca_gas_kWh/1000),0,TER_horeca_gas_kWh/1000)*0.902</f>
        <v>136.19568599999999</v>
      </c>
      <c r="E7" s="33">
        <f>$C$27*'E Balans VL '!I9/100/3.6*1000000</f>
        <v>4.8830775200763981</v>
      </c>
      <c r="F7" s="33">
        <f>$C$27*('E Balans VL '!L9+'E Balans VL '!N9)/100/3.6*1000000</f>
        <v>43.181973246266764</v>
      </c>
      <c r="G7" s="34"/>
      <c r="H7" s="33"/>
      <c r="I7" s="33"/>
      <c r="J7" s="33">
        <f>$C$27*('E Balans VL '!D9+'E Balans VL '!E9)/100/3.6*1000000</f>
        <v>0</v>
      </c>
      <c r="K7" s="33"/>
      <c r="L7" s="33"/>
      <c r="M7" s="33"/>
      <c r="N7" s="33">
        <f>$C$27*'E Balans VL '!Y9/100/3.6*1000000</f>
        <v>9.8030269073329207E-2</v>
      </c>
      <c r="O7" s="33"/>
      <c r="P7" s="33"/>
      <c r="R7" s="32"/>
    </row>
    <row r="8" spans="1:18">
      <c r="A8" s="6" t="s">
        <v>52</v>
      </c>
      <c r="B8" s="37">
        <f t="shared" si="0"/>
        <v>1727.9860000000001</v>
      </c>
      <c r="C8" s="33"/>
      <c r="D8" s="37">
        <f>IF(ISERROR(TER_handel_gas_kWh/1000),0,TER_handel_gas_kWh/1000)*0.902</f>
        <v>326.26693</v>
      </c>
      <c r="E8" s="33">
        <f>$C$28*'E Balans VL '!I13/100/3.6*1000000</f>
        <v>62.673839134313049</v>
      </c>
      <c r="F8" s="33">
        <f>$C$28*('E Balans VL '!L13+'E Balans VL '!N13)/100/3.6*1000000</f>
        <v>332.82760057067264</v>
      </c>
      <c r="G8" s="34"/>
      <c r="H8" s="33"/>
      <c r="I8" s="33"/>
      <c r="J8" s="33">
        <f>$C$28*('E Balans VL '!D13+'E Balans VL '!E13)/100/3.6*1000000</f>
        <v>0</v>
      </c>
      <c r="K8" s="33"/>
      <c r="L8" s="33"/>
      <c r="M8" s="33"/>
      <c r="N8" s="33">
        <f>$C$28*'E Balans VL '!Y13/100/3.6*1000000</f>
        <v>2.3936582018465353</v>
      </c>
      <c r="O8" s="33"/>
      <c r="P8" s="33"/>
      <c r="R8" s="32"/>
    </row>
    <row r="9" spans="1:18">
      <c r="A9" s="32" t="s">
        <v>51</v>
      </c>
      <c r="B9" s="37">
        <f t="shared" si="0"/>
        <v>274.90300000000002</v>
      </c>
      <c r="C9" s="33"/>
      <c r="D9" s="37">
        <f>IF(ISERROR(TER_gezond_gas_kWh/1000),0,TER_gezond_gas_kWh/1000)*0.902</f>
        <v>0</v>
      </c>
      <c r="E9" s="33">
        <f>$C$29*'E Balans VL '!I10/100/3.6*1000000</f>
        <v>1.7211641976780614E-2</v>
      </c>
      <c r="F9" s="33">
        <f>$C$29*('E Balans VL '!L10+'E Balans VL '!N10)/100/3.6*1000000</f>
        <v>40.83767764992335</v>
      </c>
      <c r="G9" s="34"/>
      <c r="H9" s="33"/>
      <c r="I9" s="33"/>
      <c r="J9" s="33">
        <f>$C$29*('E Balans VL '!D10+'E Balans VL '!E10)/100/3.6*1000000</f>
        <v>0</v>
      </c>
      <c r="K9" s="33"/>
      <c r="L9" s="33"/>
      <c r="M9" s="33"/>
      <c r="N9" s="33">
        <f>$C$29*'E Balans VL '!Y10/100/3.6*1000000</f>
        <v>4.2522261298720654</v>
      </c>
      <c r="O9" s="33"/>
      <c r="P9" s="33"/>
      <c r="R9" s="32"/>
    </row>
    <row r="10" spans="1:18">
      <c r="A10" s="32" t="s">
        <v>50</v>
      </c>
      <c r="B10" s="37">
        <f t="shared" si="0"/>
        <v>145.95400000000001</v>
      </c>
      <c r="C10" s="33"/>
      <c r="D10" s="37">
        <f>IF(ISERROR(TER_ander_gas_kWh/1000),0,TER_ander_gas_kWh/1000)*0.902</f>
        <v>67.903462000000005</v>
      </c>
      <c r="E10" s="33">
        <f>$C$30*'E Balans VL '!I14/100/3.6*1000000</f>
        <v>0.1739719524853072</v>
      </c>
      <c r="F10" s="33">
        <f>$C$30*('E Balans VL '!L14+'E Balans VL '!N14)/100/3.6*1000000</f>
        <v>38.188055005204561</v>
      </c>
      <c r="G10" s="34"/>
      <c r="H10" s="33"/>
      <c r="I10" s="33"/>
      <c r="J10" s="33">
        <f>$C$30*('E Balans VL '!D14+'E Balans VL '!E14)/100/3.6*1000000</f>
        <v>3.1680892161174623E-3</v>
      </c>
      <c r="K10" s="33"/>
      <c r="L10" s="33"/>
      <c r="M10" s="33"/>
      <c r="N10" s="33">
        <f>$C$30*'E Balans VL '!Y14/100/3.6*1000000</f>
        <v>123.94056535589169</v>
      </c>
      <c r="O10" s="33"/>
      <c r="P10" s="33"/>
      <c r="R10" s="32"/>
    </row>
    <row r="11" spans="1:18">
      <c r="A11" s="32" t="s">
        <v>55</v>
      </c>
      <c r="B11" s="37">
        <f t="shared" si="0"/>
        <v>29.423999999999999</v>
      </c>
      <c r="C11" s="33"/>
      <c r="D11" s="37">
        <f>IF(ISERROR(TER_onderwijs_gas_kWh/1000),0,TER_onderwijs_gas_kWh/1000)*0.902</f>
        <v>0</v>
      </c>
      <c r="E11" s="33">
        <f>$C$31*'E Balans VL '!I11/100/3.6*1000000</f>
        <v>0.44396076814152274</v>
      </c>
      <c r="F11" s="33">
        <f>$C$31*('E Balans VL '!L11+'E Balans VL '!N11)/100/3.6*1000000</f>
        <v>5.1555548623841991</v>
      </c>
      <c r="G11" s="34"/>
      <c r="H11" s="33"/>
      <c r="I11" s="33"/>
      <c r="J11" s="33">
        <f>$C$31*('E Balans VL '!D11+'E Balans VL '!E11)/100/3.6*1000000</f>
        <v>0</v>
      </c>
      <c r="K11" s="33"/>
      <c r="L11" s="33"/>
      <c r="M11" s="33"/>
      <c r="N11" s="33">
        <f>$C$31*'E Balans VL '!Y11/100/3.6*1000000</f>
        <v>8.2801372897665274E-2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3304.6918000000001</v>
      </c>
      <c r="C16" s="21">
        <f t="shared" ca="1" si="1"/>
        <v>0</v>
      </c>
      <c r="D16" s="21">
        <f t="shared" ca="1" si="1"/>
        <v>1302.8118179999999</v>
      </c>
      <c r="E16" s="21">
        <f t="shared" si="1"/>
        <v>68.196983792143598</v>
      </c>
      <c r="F16" s="21">
        <f t="shared" ca="1" si="1"/>
        <v>578.21811164032738</v>
      </c>
      <c r="G16" s="21">
        <f t="shared" si="1"/>
        <v>0</v>
      </c>
      <c r="H16" s="21">
        <f t="shared" si="1"/>
        <v>0</v>
      </c>
      <c r="I16" s="21">
        <f t="shared" si="1"/>
        <v>0</v>
      </c>
      <c r="J16" s="21">
        <f t="shared" si="1"/>
        <v>3.1680892161174623E-3</v>
      </c>
      <c r="K16" s="21">
        <f t="shared" si="1"/>
        <v>0</v>
      </c>
      <c r="L16" s="21">
        <f t="shared" ca="1" si="1"/>
        <v>0</v>
      </c>
      <c r="M16" s="21">
        <f t="shared" si="1"/>
        <v>0</v>
      </c>
      <c r="N16" s="21">
        <f t="shared" ca="1" si="1"/>
        <v>131.51842274242304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0.18518585200153645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611.98216658549109</v>
      </c>
      <c r="C20" s="23">
        <f t="shared" ref="C20:P20" ca="1" si="2">C16*C18</f>
        <v>0</v>
      </c>
      <c r="D20" s="23">
        <f t="shared" ca="1" si="2"/>
        <v>263.16798723599999</v>
      </c>
      <c r="E20" s="23">
        <f t="shared" si="2"/>
        <v>15.480715320816596</v>
      </c>
      <c r="F20" s="23">
        <f t="shared" ca="1" si="2"/>
        <v>154.38423580796743</v>
      </c>
      <c r="G20" s="23">
        <f t="shared" si="2"/>
        <v>0</v>
      </c>
      <c r="H20" s="23">
        <f t="shared" si="2"/>
        <v>0</v>
      </c>
      <c r="I20" s="23">
        <f t="shared" si="2"/>
        <v>0</v>
      </c>
      <c r="J20" s="23">
        <f t="shared" si="2"/>
        <v>1.1215035825055816E-3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785.42380000000003</v>
      </c>
      <c r="C26" s="39">
        <f>IF(ISERROR(B26*3.6/1000000/'E Balans VL '!Z12*100),0,B26*3.6/1000000/'E Balans VL '!Z12*100)</f>
        <v>1.6602614920199509E-2</v>
      </c>
      <c r="D26" s="237" t="s">
        <v>754</v>
      </c>
      <c r="F26" s="6"/>
    </row>
    <row r="27" spans="1:18">
      <c r="A27" s="231" t="s">
        <v>53</v>
      </c>
      <c r="B27" s="33">
        <f>IF(ISERROR(TER_horeca_ele_kWh/1000),0,TER_horeca_ele_kWh/1000)</f>
        <v>341.00099999999998</v>
      </c>
      <c r="C27" s="39">
        <f>IF(ISERROR(B27*3.6/1000000/'E Balans VL '!Z9*100),0,B27*3.6/1000000/'E Balans VL '!Z9*100)</f>
        <v>2.6880981732438733E-2</v>
      </c>
      <c r="D27" s="237" t="s">
        <v>754</v>
      </c>
      <c r="F27" s="6"/>
    </row>
    <row r="28" spans="1:18">
      <c r="A28" s="171" t="s">
        <v>52</v>
      </c>
      <c r="B28" s="33">
        <f>IF(ISERROR(TER_handel_ele_kWh/1000),0,TER_handel_ele_kWh/1000)</f>
        <v>1727.9860000000001</v>
      </c>
      <c r="C28" s="39">
        <f>IF(ISERROR(B28*3.6/1000000/'E Balans VL '!Z13*100),0,B28*3.6/1000000/'E Balans VL '!Z13*100)</f>
        <v>5.0153135565798444E-2</v>
      </c>
      <c r="D28" s="237" t="s">
        <v>754</v>
      </c>
      <c r="F28" s="6"/>
    </row>
    <row r="29" spans="1:18">
      <c r="A29" s="231" t="s">
        <v>51</v>
      </c>
      <c r="B29" s="33">
        <f>IF(ISERROR(TER_gezond_ele_kWh/1000),0,TER_gezond_ele_kWh/1000)</f>
        <v>274.90300000000002</v>
      </c>
      <c r="C29" s="39">
        <f>IF(ISERROR(B29*3.6/1000000/'E Balans VL '!Z10*100),0,B29*3.6/1000000/'E Balans VL '!Z10*100)</f>
        <v>2.8951799926412853E-2</v>
      </c>
      <c r="D29" s="237" t="s">
        <v>754</v>
      </c>
      <c r="F29" s="6"/>
    </row>
    <row r="30" spans="1:18">
      <c r="A30" s="231" t="s">
        <v>50</v>
      </c>
      <c r="B30" s="33">
        <f>IF(ISERROR(TER_ander_ele_kWh/1000),0,TER_ander_ele_kWh/1000)</f>
        <v>145.95400000000001</v>
      </c>
      <c r="C30" s="39">
        <f>IF(ISERROR(B30*3.6/1000000/'E Balans VL '!Z14*100),0,B30*3.6/1000000/'E Balans VL '!Z14*100)</f>
        <v>1.0765598741051111E-2</v>
      </c>
      <c r="D30" s="237" t="s">
        <v>754</v>
      </c>
      <c r="F30" s="6"/>
    </row>
    <row r="31" spans="1:18">
      <c r="A31" s="231" t="s">
        <v>55</v>
      </c>
      <c r="B31" s="33">
        <f>IF(ISERROR(TER_onderwijs_ele_kWh/1000),0,TER_onderwijs_ele_kWh/1000)</f>
        <v>29.423999999999999</v>
      </c>
      <c r="C31" s="39">
        <f>IF(ISERROR(B31*3.6/1000000/'E Balans VL '!Z11*100),0,B31*3.6/1000000/'E Balans VL '!Z11*100)</f>
        <v>7.3073575013310049E-3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1239.9850000000001</v>
      </c>
      <c r="C5" s="17">
        <f>IF(ISERROR('Eigen informatie GS &amp; warmtenet'!B59),0,'Eigen informatie GS &amp; warmtenet'!B59)</f>
        <v>0</v>
      </c>
      <c r="D5" s="30">
        <f>SUM(D6:D15)</f>
        <v>406.52959599999997</v>
      </c>
      <c r="E5" s="17">
        <f>SUM(E6:E15)</f>
        <v>131.32085360847131</v>
      </c>
      <c r="F5" s="17">
        <f>SUM(F6:F15)</f>
        <v>408.42954667344003</v>
      </c>
      <c r="G5" s="18"/>
      <c r="H5" s="17"/>
      <c r="I5" s="17"/>
      <c r="J5" s="17">
        <f>SUM(J6:J15)</f>
        <v>4.2093645787672721E-3</v>
      </c>
      <c r="K5" s="17"/>
      <c r="L5" s="17"/>
      <c r="M5" s="17"/>
      <c r="N5" s="17">
        <f>SUM(N6:N15)</f>
        <v>275.00833562024019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48.667000000000002</v>
      </c>
      <c r="C8" s="33"/>
      <c r="D8" s="37">
        <f>IF( ISERROR(IND_metaal_Gas_kWH/1000),0,IND_metaal_Gas_kWH/1000)*0.902</f>
        <v>0</v>
      </c>
      <c r="E8" s="33">
        <f>C30*'E Balans VL '!I18/100/3.6*1000000</f>
        <v>0.44744606196439973</v>
      </c>
      <c r="F8" s="33">
        <f>C30*'E Balans VL '!L18/100/3.6*1000000+C30*'E Balans VL '!N18/100/3.6*1000000</f>
        <v>4.5633443115569756</v>
      </c>
      <c r="G8" s="34"/>
      <c r="H8" s="33"/>
      <c r="I8" s="33"/>
      <c r="J8" s="40">
        <f>C30*'E Balans VL '!D18/100/3.6*1000000+C30*'E Balans VL '!E18/100/3.6*1000000</f>
        <v>0</v>
      </c>
      <c r="K8" s="33"/>
      <c r="L8" s="33"/>
      <c r="M8" s="33"/>
      <c r="N8" s="33">
        <f>C30*'E Balans VL '!Y18/100/3.6*1000000</f>
        <v>0.69431518060430653</v>
      </c>
      <c r="O8" s="33"/>
      <c r="P8" s="33"/>
      <c r="R8" s="32"/>
    </row>
    <row r="9" spans="1:18">
      <c r="A9" s="6" t="s">
        <v>33</v>
      </c>
      <c r="B9" s="37">
        <f t="shared" si="0"/>
        <v>442.197</v>
      </c>
      <c r="C9" s="33"/>
      <c r="D9" s="37">
        <f>IF( ISERROR(IND_andere_gas_kWh/1000),0,IND_andere_gas_kWh/1000)*0.902</f>
        <v>291.460554</v>
      </c>
      <c r="E9" s="33">
        <f>C31*'E Balans VL '!I19/100/3.6*1000000</f>
        <v>129.26279166021621</v>
      </c>
      <c r="F9" s="33">
        <f>C31*'E Balans VL '!L19/100/3.6*1000000+C31*'E Balans VL '!N19/100/3.6*1000000</f>
        <v>355.33876073736457</v>
      </c>
      <c r="G9" s="34"/>
      <c r="H9" s="33"/>
      <c r="I9" s="33"/>
      <c r="J9" s="40">
        <f>C31*'E Balans VL '!D19/100/3.6*1000000+C31*'E Balans VL '!E19/100/3.6*1000000</f>
        <v>0</v>
      </c>
      <c r="K9" s="33"/>
      <c r="L9" s="33"/>
      <c r="M9" s="33"/>
      <c r="N9" s="33">
        <f>C31*'E Balans VL '!Y19/100/3.6*1000000</f>
        <v>146.10874678923818</v>
      </c>
      <c r="O9" s="33"/>
      <c r="P9" s="33"/>
      <c r="R9" s="32"/>
    </row>
    <row r="10" spans="1:18">
      <c r="A10" s="6" t="s">
        <v>41</v>
      </c>
      <c r="B10" s="37">
        <f t="shared" si="0"/>
        <v>669.46699999999998</v>
      </c>
      <c r="C10" s="33"/>
      <c r="D10" s="37">
        <f>IF( ISERROR(IND_voed_gas_kWh/1000),0,IND_voed_gas_kWh/1000)*0.902</f>
        <v>115.069042</v>
      </c>
      <c r="E10" s="33">
        <f>C32*'E Balans VL '!I20/100/3.6*1000000</f>
        <v>1.4162678187087769</v>
      </c>
      <c r="F10" s="33">
        <f>C32*'E Balans VL '!L20/100/3.6*1000000+C32*'E Balans VL '!N20/100/3.6*1000000</f>
        <v>42.565395700487187</v>
      </c>
      <c r="G10" s="34"/>
      <c r="H10" s="33"/>
      <c r="I10" s="33"/>
      <c r="J10" s="40">
        <f>C32*'E Balans VL '!D20/100/3.6*1000000+C32*'E Balans VL '!E20/100/3.6*1000000</f>
        <v>0</v>
      </c>
      <c r="K10" s="33"/>
      <c r="L10" s="33"/>
      <c r="M10" s="33"/>
      <c r="N10" s="33">
        <f>C32*'E Balans VL '!Y20/100/3.6*1000000</f>
        <v>46.199829461782137</v>
      </c>
      <c r="O10" s="33"/>
      <c r="P10" s="33"/>
      <c r="R10" s="32"/>
    </row>
    <row r="11" spans="1:18">
      <c r="A11" s="6" t="s">
        <v>40</v>
      </c>
      <c r="B11" s="37">
        <f t="shared" si="0"/>
        <v>52.436999999999998</v>
      </c>
      <c r="C11" s="33"/>
      <c r="D11" s="37">
        <f>IF( ISERROR(IND_textiel_gas_kWh/1000),0,IND_textiel_gas_kWh/1000)*0.902</f>
        <v>0</v>
      </c>
      <c r="E11" s="33">
        <f>C33*'E Balans VL '!I21/100/3.6*1000000</f>
        <v>0.15573336906148316</v>
      </c>
      <c r="F11" s="33">
        <f>C33*'E Balans VL '!L21/100/3.6*1000000+C33*'E Balans VL '!N21/100/3.6*1000000</f>
        <v>5.2975766115128318</v>
      </c>
      <c r="G11" s="34"/>
      <c r="H11" s="33"/>
      <c r="I11" s="33"/>
      <c r="J11" s="40">
        <f>C33*'E Balans VL '!D21/100/3.6*1000000+C33*'E Balans VL '!E21/100/3.6*1000000</f>
        <v>0</v>
      </c>
      <c r="K11" s="33"/>
      <c r="L11" s="33"/>
      <c r="M11" s="33"/>
      <c r="N11" s="33">
        <f>C33*'E Balans VL '!Y21/100/3.6*1000000</f>
        <v>2.8920678950428744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27.216999999999999</v>
      </c>
      <c r="C13" s="33"/>
      <c r="D13" s="37">
        <f>IF( ISERROR(IND_papier_gas_kWh/1000),0,IND_papier_gas_kWh/1000)*0.902</f>
        <v>0</v>
      </c>
      <c r="E13" s="33">
        <f>C35*'E Balans VL '!I23/100/3.6*1000000</f>
        <v>3.8614698520420515E-2</v>
      </c>
      <c r="F13" s="33">
        <f>C35*'E Balans VL '!L23/100/3.6*1000000+C35*'E Balans VL '!N23/100/3.6*1000000</f>
        <v>0.66446931251847341</v>
      </c>
      <c r="G13" s="34"/>
      <c r="H13" s="33"/>
      <c r="I13" s="33"/>
      <c r="J13" s="40">
        <f>C35*'E Balans VL '!D23/100/3.6*1000000+C35*'E Balans VL '!E23/100/3.6*1000000</f>
        <v>4.2093645787672721E-3</v>
      </c>
      <c r="K13" s="33"/>
      <c r="L13" s="33"/>
      <c r="M13" s="33"/>
      <c r="N13" s="33">
        <f>C35*'E Balans VL '!Y23/100/3.6*1000000</f>
        <v>79.113376293572657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1239.9850000000001</v>
      </c>
      <c r="C18" s="21">
        <f>C5+C16</f>
        <v>0</v>
      </c>
      <c r="D18" s="21">
        <f>MAX((D5+D16),0)</f>
        <v>406.52959599999997</v>
      </c>
      <c r="E18" s="21">
        <f>MAX((E5+E16),0)</f>
        <v>131.32085360847131</v>
      </c>
      <c r="F18" s="21">
        <f>MAX((F5+F16),0)</f>
        <v>408.42954667344003</v>
      </c>
      <c r="G18" s="21"/>
      <c r="H18" s="21"/>
      <c r="I18" s="21"/>
      <c r="J18" s="21">
        <f>MAX((J5+J16),0)</f>
        <v>4.2093645787672721E-3</v>
      </c>
      <c r="K18" s="21"/>
      <c r="L18" s="21">
        <f>MAX((L5+L16),0)</f>
        <v>0</v>
      </c>
      <c r="M18" s="21"/>
      <c r="N18" s="21">
        <f>MAX((N5+N16),0)</f>
        <v>275.00833562024019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0.18518585200153645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229.62767869412519</v>
      </c>
      <c r="C22" s="23">
        <f ca="1">C18*C20</f>
        <v>0</v>
      </c>
      <c r="D22" s="23">
        <f>D18*D20</f>
        <v>82.118978392000002</v>
      </c>
      <c r="E22" s="23">
        <f>E18*E20</f>
        <v>29.809833769122989</v>
      </c>
      <c r="F22" s="23">
        <f>F18*F20</f>
        <v>109.05068896180849</v>
      </c>
      <c r="G22" s="23"/>
      <c r="H22" s="23"/>
      <c r="I22" s="23"/>
      <c r="J22" s="23">
        <f>J18*J20</f>
        <v>1.4901150608836143E-3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48.667000000000002</v>
      </c>
      <c r="C30" s="39">
        <f>IF(ISERROR(B30*3.6/1000000/'E Balans VL '!Z18*100),0,B30*3.6/1000000/'E Balans VL '!Z18*100)</f>
        <v>2.7580836803498929E-3</v>
      </c>
      <c r="D30" s="237" t="s">
        <v>754</v>
      </c>
    </row>
    <row r="31" spans="1:18">
      <c r="A31" s="6" t="s">
        <v>33</v>
      </c>
      <c r="B31" s="37">
        <f>IF( ISERROR(IND_ander_ele_kWh/1000),0,IND_ander_ele_kWh/1000)</f>
        <v>442.197</v>
      </c>
      <c r="C31" s="39">
        <f>IF(ISERROR(B31*3.6/1000000/'E Balans VL '!Z19*100),0,B31*3.6/1000000/'E Balans VL '!Z19*100)</f>
        <v>2.0056214643738853E-2</v>
      </c>
      <c r="D31" s="237" t="s">
        <v>754</v>
      </c>
    </row>
    <row r="32" spans="1:18">
      <c r="A32" s="171" t="s">
        <v>41</v>
      </c>
      <c r="B32" s="37">
        <f>IF( ISERROR(IND_voed_ele_kWh/1000),0,IND_voed_ele_kWh/1000)</f>
        <v>669.46699999999998</v>
      </c>
      <c r="C32" s="39">
        <f>IF(ISERROR(B32*3.6/1000000/'E Balans VL '!Z20*100),0,B32*3.6/1000000/'E Balans VL '!Z20*100)</f>
        <v>2.0709653433570101E-2</v>
      </c>
      <c r="D32" s="237" t="s">
        <v>754</v>
      </c>
    </row>
    <row r="33" spans="1:5">
      <c r="A33" s="171" t="s">
        <v>40</v>
      </c>
      <c r="B33" s="37">
        <f>IF( ISERROR(IND_textiel_ele_kWh/1000),0,IND_textiel_ele_kWh/1000)</f>
        <v>52.436999999999998</v>
      </c>
      <c r="C33" s="39">
        <f>IF(ISERROR(B33*3.6/1000000/'E Balans VL '!Z21*100),0,B33*3.6/1000000/'E Balans VL '!Z21*100)</f>
        <v>6.8372019330653361E-3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27.216999999999999</v>
      </c>
      <c r="C35" s="39">
        <f>IF(ISERROR(B35*3.6/1000000/'E Balans VL '!Z22*100),0,B35*3.6/1000000/'E Balans VL '!Z22*100)</f>
        <v>4.8954891393797112E-3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4228.4889999999996</v>
      </c>
      <c r="C5" s="17">
        <f>'Eigen informatie GS &amp; warmtenet'!B60</f>
        <v>0</v>
      </c>
      <c r="D5" s="30">
        <f>IF(ISERROR(SUM(LB_lb_gas_kWh,LB_rest_gas_kWh,onbekend_gas_kWh)/1000),0,SUM(LB_lb_gas_kWh,LB_rest_gas_kWh,onbekend_gas_kWh)/1000)*0.902</f>
        <v>99.72963</v>
      </c>
      <c r="E5" s="17">
        <f>B17*'E Balans VL '!I25/3.6*1000000/100</f>
        <v>124.28820700610885</v>
      </c>
      <c r="F5" s="17">
        <f>B17*('E Balans VL '!L25/3.6*1000000+'E Balans VL '!N25/3.6*1000000)/100</f>
        <v>17615.656678447638</v>
      </c>
      <c r="G5" s="18"/>
      <c r="H5" s="17"/>
      <c r="I5" s="17"/>
      <c r="J5" s="17">
        <f>('E Balans VL '!D25+'E Balans VL '!E25)/3.6*1000000*landbouw!B17/100</f>
        <v>612.61724825925785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4228.4889999999996</v>
      </c>
      <c r="C8" s="21">
        <f>C5+C6</f>
        <v>0</v>
      </c>
      <c r="D8" s="21">
        <f>MAX((D5+D6),0)</f>
        <v>99.72963</v>
      </c>
      <c r="E8" s="21">
        <f>MAX((E5+E6),0)</f>
        <v>124.28820700610885</v>
      </c>
      <c r="F8" s="21">
        <f>MAX((F5+F6),0)</f>
        <v>17615.656678447638</v>
      </c>
      <c r="G8" s="21"/>
      <c r="H8" s="21"/>
      <c r="I8" s="21"/>
      <c r="J8" s="21">
        <f>MAX((J5+J6),0)</f>
        <v>612.61724825925785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0.18518585200153645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783.05633814412477</v>
      </c>
      <c r="C12" s="23">
        <f ca="1">C8*C10</f>
        <v>0</v>
      </c>
      <c r="D12" s="23">
        <f>D8*D10</f>
        <v>20.145385260000001</v>
      </c>
      <c r="E12" s="23">
        <f>E8*E10</f>
        <v>28.213422990386711</v>
      </c>
      <c r="F12" s="23">
        <f>F8*F10</f>
        <v>4703.3803331455192</v>
      </c>
      <c r="G12" s="23"/>
      <c r="H12" s="23"/>
      <c r="I12" s="23"/>
      <c r="J12" s="23">
        <f>J8*J10</f>
        <v>216.86650588377728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0.60003585557965111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270.8789249618963</v>
      </c>
      <c r="C26" s="247">
        <f>B26*'GWP N2O_CH4'!B5</f>
        <v>5688.4574241998225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94.61319901567245</v>
      </c>
      <c r="C27" s="247">
        <f>B27*'GWP N2O_CH4'!B5</f>
        <v>1986.8771793291214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3.5950595638419802</v>
      </c>
      <c r="C28" s="247">
        <f>B28*'GWP N2O_CH4'!B4</f>
        <v>1114.468464791014</v>
      </c>
      <c r="D28" s="50"/>
    </row>
    <row r="29" spans="1:4">
      <c r="A29" s="41" t="s">
        <v>277</v>
      </c>
      <c r="B29" s="247">
        <f>B34*'ha_N2O bodem landbouw'!B4</f>
        <v>20.405456657132028</v>
      </c>
      <c r="C29" s="247">
        <f>B29*'GWP N2O_CH4'!B4</f>
        <v>6325.6915637109287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4.6564548888255418E-3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4.8330571441205491E-5</v>
      </c>
      <c r="C5" s="463" t="s">
        <v>211</v>
      </c>
      <c r="D5" s="448">
        <f>SUM(D6:D11)</f>
        <v>2.3130391916707419E-4</v>
      </c>
      <c r="E5" s="448">
        <f>SUM(E6:E11)</f>
        <v>2.9607746606472133E-4</v>
      </c>
      <c r="F5" s="461" t="s">
        <v>211</v>
      </c>
      <c r="G5" s="448">
        <f>SUM(G6:G11)</f>
        <v>9.3174686799107648E-2</v>
      </c>
      <c r="H5" s="448">
        <f>SUM(H6:H11)</f>
        <v>2.5676622535296002E-2</v>
      </c>
      <c r="I5" s="463" t="s">
        <v>211</v>
      </c>
      <c r="J5" s="463" t="s">
        <v>211</v>
      </c>
      <c r="K5" s="463" t="s">
        <v>211</v>
      </c>
      <c r="L5" s="463" t="s">
        <v>211</v>
      </c>
      <c r="M5" s="448">
        <f>SUM(M6:M11)</f>
        <v>6.2058072826201172E-3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1.1331761666584742E-5</v>
      </c>
      <c r="C6" s="449"/>
      <c r="D6" s="962">
        <f>vkm_2011_GW_PW*SUMIFS(TableVerdeelsleutelVkm[CNG],TableVerdeelsleutelVkm[Voertuigtype],"Lichte voertuigen")*SUMIFS(TableECFTransport[EnergieConsumptieFactor (PJ per km)],TableECFTransport[Index],CONCATENATE($A6,"_CNG_CNG"))</f>
        <v>3.398878116015328E-5</v>
      </c>
      <c r="E6" s="962">
        <f>vkm_2011_GW_PW*SUMIFS(TableVerdeelsleutelVkm[LPG],TableVerdeelsleutelVkm[Voertuigtype],"Lichte voertuigen")*SUMIFS(TableECFTransport[EnergieConsumptieFactor (PJ per km)],TableECFTransport[Index],CONCATENATE($A6,"_LPG_LPG"))</f>
        <v>4.6433557312574847E-5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1.2005589373681307E-2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3.8651566052993504E-3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8.1613818177217663E-4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1.2597329322243224E-2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3.8387384613549549E-6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7.3614609615221349E-4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3.6998809774620751E-5</v>
      </c>
      <c r="C8" s="449"/>
      <c r="D8" s="451">
        <f>vkm_2011_NGW_PW*SUMIFS(TableVerdeelsleutelVkm[CNG],TableVerdeelsleutelVkm[Voertuigtype],"Lichte voertuigen")*SUMIFS(TableECFTransport[EnergieConsumptieFactor (PJ per km)],TableECFTransport[Index],CONCATENATE($A8,"_CNG_CNG"))</f>
        <v>1.973151380069209E-4</v>
      </c>
      <c r="E8" s="451">
        <f>vkm_2011_NGW_PW*SUMIFS(TableVerdeelsleutelVkm[LPG],TableVerdeelsleutelVkm[Voertuigtype],"Lichte voertuigen")*SUMIFS(TableECFTransport[EnergieConsumptieFactor (PJ per km)],TableECFTransport[Index],CONCATENATE($A8,"_LPG_LPG"))</f>
        <v>2.4964390875214647E-4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6.0150481352042054E-2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2.1805211347191961E-2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4.1614154305771303E-3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8.4212867511410661E-3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2.4158443433381938E-6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4.9210757411859694E-4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13.425158733668193</v>
      </c>
      <c r="C14" s="21"/>
      <c r="D14" s="21">
        <f t="shared" ref="D14:M14" si="0">((D5)*10^9/3600)+D12</f>
        <v>64.251088657520611</v>
      </c>
      <c r="E14" s="21">
        <f t="shared" si="0"/>
        <v>82.243740573533714</v>
      </c>
      <c r="F14" s="21"/>
      <c r="G14" s="21">
        <f t="shared" si="0"/>
        <v>25881.857444196568</v>
      </c>
      <c r="H14" s="21">
        <f t="shared" si="0"/>
        <v>7132.3951486933338</v>
      </c>
      <c r="I14" s="21"/>
      <c r="J14" s="21"/>
      <c r="K14" s="21"/>
      <c r="L14" s="21"/>
      <c r="M14" s="21">
        <f t="shared" si="0"/>
        <v>1723.8353562833659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0.18518585200153645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2.4861494583502126</v>
      </c>
      <c r="C18" s="23"/>
      <c r="D18" s="23">
        <f t="shared" ref="D18:M18" si="1">D14*D16</f>
        <v>12.978719908819164</v>
      </c>
      <c r="E18" s="23">
        <f t="shared" si="1"/>
        <v>18.669329110192155</v>
      </c>
      <c r="F18" s="23"/>
      <c r="G18" s="23">
        <f t="shared" si="1"/>
        <v>6910.4559376004845</v>
      </c>
      <c r="H18" s="23">
        <f t="shared" si="1"/>
        <v>1775.9663920246401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2.0693768706319341E-3</v>
      </c>
      <c r="H50" s="321">
        <f t="shared" si="2"/>
        <v>0</v>
      </c>
      <c r="I50" s="321">
        <f t="shared" si="2"/>
        <v>0</v>
      </c>
      <c r="J50" s="321">
        <f t="shared" si="2"/>
        <v>0</v>
      </c>
      <c r="K50" s="321">
        <f t="shared" si="2"/>
        <v>0</v>
      </c>
      <c r="L50" s="321">
        <f t="shared" si="2"/>
        <v>0</v>
      </c>
      <c r="M50" s="321">
        <f t="shared" si="2"/>
        <v>1.1753147082962999E-4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2.0693768706319341E-3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1.1753147082962999E-4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574.82690850887059</v>
      </c>
      <c r="H54" s="21">
        <f t="shared" si="3"/>
        <v>0</v>
      </c>
      <c r="I54" s="21">
        <f t="shared" si="3"/>
        <v>0</v>
      </c>
      <c r="J54" s="21">
        <f t="shared" si="3"/>
        <v>0</v>
      </c>
      <c r="K54" s="21">
        <f t="shared" si="3"/>
        <v>0</v>
      </c>
      <c r="L54" s="21">
        <f t="shared" si="3"/>
        <v>0</v>
      </c>
      <c r="M54" s="21">
        <f t="shared" si="3"/>
        <v>32.647630786008335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0.18518585200153645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153.47878457186846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3783.6188184844596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3783.6188184844596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2018-09-06T12:47:13Z</dcterms:modified>
</cp:coreProperties>
</file>