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P13" i="14" l="1"/>
  <c r="P15" s="1"/>
  <c r="P23" s="1"/>
  <c r="P55" s="1"/>
  <c r="Q15"/>
  <c r="Q23" s="1"/>
  <c r="Q55" s="1"/>
  <c r="E7" i="48"/>
  <c r="E24" s="1"/>
  <c r="E12" i="17"/>
  <c r="F48" i="14" s="1"/>
  <c r="O8" i="48"/>
  <c r="O25" s="1"/>
  <c r="N7"/>
  <c r="N24"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O3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R10" i="14"/>
  <c r="O13" l="1"/>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<sst xmlns="http://schemas.openxmlformats.org/spreadsheetml/2006/main" count="1914" uniqueCount="809">
  <si>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</si>
  <si>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</si>
  <si>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</si>
  <si>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</si>
  <si>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</si>
  <si>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</si>
  <si>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</si>
  <si>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</si>
  <si>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</si>
  <si>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</si>
  <si>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</si>
  <si>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</si>
  <si>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</si>
  <si>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</si>
  <si>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</si>
  <si>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</si>
  <si>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</si>
  <si>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</si>
  <si>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</si>
  <si>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</si>
  <si>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</si>
  <si>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</si>
  <si>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</si>
  <si>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</si>
  <si>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</si>
  <si>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</si>
  <si>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</si>
  <si>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</si>
  <si>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</si>
  <si>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</si>
  <si>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</si>
  <si>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</si>
  <si>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</si>
  <si>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</si>
  <si>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</si>
  <si>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</si>
  <si>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</si>
  <si>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</si>
  <si>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</si>
  <si>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</si>
  <si>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</si>
  <si>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</si>
  <si>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</si>
  <si>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</si>
  <si>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</si>
  <si>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</si>
  <si>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</si>
  <si>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</si>
  <si>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</si>
  <si>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</si>
  <si>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</si>
  <si>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</si>
  <si>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</si>
  <si>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</si>
  <si>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</si>
  <si>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</si>
  <si>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</si>
  <si>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</si>
  <si>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</si>
  <si>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</si>
  <si>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</si>
  <si>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</si>
  <si>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</si>
  <si>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</si>
  <si>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</si>
  <si>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</si>
  <si>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</si>
  <si>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</si>
  <si>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</si>
  <si>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</si>
  <si>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</si>
  <si>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</si>
  <si>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</si>
  <si>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</si>
  <si>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</si>
  <si>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</si>
  <si>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</si>
  <si>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</si>
  <si>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</si>
  <si>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</si>
  <si>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</si>
  <si>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</si>
  <si>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</si>
  <si>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</si>
  <si>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</si>
  <si>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</si>
  <si>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</si>
  <si>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</si>
  <si>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</si>
  <si>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</si>
  <si>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</si>
  <si>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</si>
  <si>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</si>
  <si>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</si>
  <si>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</si>
  <si>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</si>
  <si>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</si>
  <si>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</si>
  <si>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</si>
  <si>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</si>
  <si>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</si>
  <si>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</si>
  <si>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</si>
  <si>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</si>
  <si>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</si>
  <si>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</si>
  <si>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</si>
  <si>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</si>
  <si>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</si>
  <si>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</si>
  <si>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</si>
  <si>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</si>
  <si>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</si>
  <si>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</si>
  <si>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</si>
  <si>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</si>
  <si>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</si>
  <si>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</si>
  <si>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</si>
  <si>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</si>
  <si>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</si>
  <si>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</si>
  <si>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</si>
  <si>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</si>
  <si>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</si>
  <si>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</si>
  <si>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</si>
  <si>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</si>
  <si>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</si>
  <si>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</si>
  <si>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</si>
  <si>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</si>
  <si>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</si>
  <si>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</si>
  <si>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</si>
  <si>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</si>
  <si>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</si>
  <si>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</si>
  <si>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</si>
  <si>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</si>
  <si>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</si>
  <si>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</si>
  <si>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</si>
  <si>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</si>
  <si>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</si>
  <si>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</si>
  <si>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</si>
  <si>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</si>
  <si>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</si>
  <si>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</si>
  <si>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</si>
  <si>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</si>
  <si>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</si>
  <si>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</si>
  <si>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</si>
  <si>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</si>
  <si>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</si>
  <si>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</si>
  <si>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</si>
  <si>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</si>
  <si>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</si>
  <si>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</si>
  <si>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</si>
  <si>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</si>
  <si>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</si>
  <si>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</si>
  <si>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</si>
  <si>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</si>
  <si>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</si>
  <si>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</si>
  <si>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</si>
  <si>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</si>
  <si>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</si>
  <si>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</si>
  <si>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</si>
  <si>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</si>
  <si>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</si>
  <si>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</si>
  <si>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</si>
  <si>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</si>
  <si>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</si>
  <si>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</si>
  <si>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</si>
  <si>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</si>
  <si>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</si>
  <si>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</si>
  <si>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</si>
  <si>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</si>
  <si>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</si>
  <si>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</si>
  <si>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</si>
  <si>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</si>
  <si>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</si>
  <si>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</si>
  <si>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</si>
  <si>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</si>
  <si>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</si>
  <si>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</si>
  <si>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</si>
  <si>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</si>
  <si>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</si>
  <si>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</si>
  <si>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</si>
  <si>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</si>
  <si>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</si>
  <si>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</si>
  <si>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</si>
  <si>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</si>
  <si>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</si>
  <si>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</si>
  <si>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</si>
  <si>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</si>
  <si>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</si>
  <si>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</si>
  <si>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</si>
  <si>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</si>
  <si>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</si>
  <si>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</si>
  <si>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</si>
  <si>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</si>
  <si>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</si>
  <si>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</si>
  <si>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</si>
  <si>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</si>
  <si>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</si>
  <si>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</si>
  <si>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</si>
  <si>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</si>
  <si>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</si>
  <si>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</si>
  <si>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</si>
  <si>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</si>
  <si>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</si>
  <si>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</si>
  <si>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</si>
  <si>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</si>
  <si>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</si>
  <si>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</si>
  <si>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</si>
  <si>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</si>
  <si>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</si>
  <si>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</si>
  <si>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</si>
  <si>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</si>
  <si>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</si>
  <si>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</si>
  <si>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</si>
  <si>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</si>
  <si>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</si>
  <si>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</si>
  <si>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</si>
  <si>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</si>
  <si>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</si>
  <si>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</si>
  <si>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</si>
  <si>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</si>
  <si>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</si>
  <si>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</si>
  <si>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</si>
  <si>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</si>
  <si>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</si>
  <si>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</si>
  <si>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</si>
  <si>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</si>
  <si>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</si>
  <si>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</si>
  <si>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</si>
  <si>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</si>
  <si>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</si>
  <si>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</si>
  <si>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</si>
  <si>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</si>
  <si>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</si>
  <si>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</si>
  <si>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</si>
  <si>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</si>
  <si>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</si>
  <si>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</si>
  <si>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</si>
  <si>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</si>
  <si>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</si>
  <si>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</si>
  <si>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</si>
  <si>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</si>
  <si>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</si>
  <si>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</si>
  <si>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</si>
  <si>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</si>
  <si>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</si>
  <si>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</si>
  <si>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</si>
  <si>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</si>
  <si>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</si>
  <si>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</si>
  <si>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</si>
  <si>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</si>
  <si>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</si>
  <si>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</si>
  <si>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</si>
  <si>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</si>
  <si>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</si>
  <si>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</si>
  <si>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</si>
  <si>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</si>
  <si>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</si>
  <si>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</si>
  <si>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</si>
  <si>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</si>
  <si>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</si>
  <si>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</si>
  <si>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</si>
  <si>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</si>
  <si>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</si>
  <si>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</si>
  <si>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</si>
  <si>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</si>
  <si>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</si>
  <si>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</si>
  <si>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</si>
  <si>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</si>
  <si>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</si>
  <si>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</si>
  <si>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</si>
  <si>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</si>
  <si>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</si>
  <si>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</si>
  <si>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</si>
  <si>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</si>
  <si>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</si>
  <si>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</si>
  <si>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</si>
  <si>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</si>
  <si>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</si>
  <si>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</si>
  <si>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</si>
  <si>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</si>
  <si>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</si>
  <si>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</si>
  <si>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</si>
  <si>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</si>
  <si>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</si>
  <si>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</si>
  <si>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</si>
  <si>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</si>
  <si>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</si>
  <si>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</si>
  <si>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</si>
  <si>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</si>
  <si>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</si>
  <si>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</si>
  <si>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</si>
  <si>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</si>
  <si>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</si>
  <si>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</si>
  <si>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</si>
  <si>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</si>
  <si>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</si>
  <si>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</si>
  <si>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</si>
  <si>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</si>
  <si>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</si>
  <si>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</si>
  <si>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</si>
  <si>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</si>
  <si>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</si>
  <si>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</si>
  <si>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</si>
  <si>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</si>
  <si>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</si>
  <si>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</si>
  <si>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</si>
  <si>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</si>
  <si>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</si>
  <si>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</si>
  <si>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</si>
  <si>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</si>
  <si>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</si>
  <si>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</si>
  <si>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</si>
  <si>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</si>
  <si>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</si>
  <si>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</si>
  <si>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</si>
  <si>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</si>
  <si>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</si>
  <si>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</si>
  <si>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</si>
  <si>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</si>
  <si>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</si>
  <si>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</si>
  <si>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</si>
  <si>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</si>
  <si>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</si>
  <si>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</si>
  <si>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</si>
  <si>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</si>
  <si>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</si>
  <si>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</si>
  <si>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</si>
  <si>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</si>
  <si>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</si>
  <si>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</si>
  <si>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</si>
  <si>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</si>
  <si>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</si>
  <si>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</si>
  <si>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</si>
  <si>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</si>
  <si>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</si>
  <si>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</si>
  <si>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</si>
  <si>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</si>
  <si>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</si>
  <si>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</si>
  <si>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</si>
  <si>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</si>
  <si>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</si>
  <si>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</si>
  <si>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</si>
  <si>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</si>
  <si>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</si>
  <si>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</si>
  <si>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</si>
  <si>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</si>
  <si>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</si>
  <si>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</si>
  <si>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</si>
  <si>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</si>
  <si>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</si>
  <si>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</si>
  <si>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</si>
  <si>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</si>
  <si>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</si>
  <si>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</si>
  <si>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</si>
  <si>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</si>
  <si>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</si>
  <si>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</si>
  <si>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</si>
  <si>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</si>
  <si>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</si>
  <si>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</si>
  <si>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</si>
  <si>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</si>
  <si>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</si>
  <si>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</si>
  <si>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</si>
  <si>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</si>
  <si>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</si>
  <si>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</si>
  <si>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</si>
  <si>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</si>
  <si>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</si>
  <si>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</si>
  <si>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</si>
  <si>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</si>
  <si>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</si>
  <si>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</si>
  <si>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</si>
  <si>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</si>
  <si>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</si>
  <si>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</si>
  <si>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</si>
  <si>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</si>
  <si>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</si>
  <si>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</si>
  <si>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</si>
  <si>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</si>
  <si>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</si>
  <si>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</si>
  <si>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</si>
  <si>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</si>
  <si>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</si>
  <si>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</si>
  <si>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</si>
  <si>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</si>
  <si>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</si>
  <si>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</si>
  <si>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</si>
  <si>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</si>
  <si>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</si>
  <si>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</si>
  <si>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</si>
  <si>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</si>
  <si>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</si>
  <si>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</si>
  <si>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</si>
  <si>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</si>
  <si>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</si>
  <si>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</si>
  <si>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</si>
  <si>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</si>
  <si>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</si>
  <si>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</si>
  <si>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</si>
  <si>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</si>
  <si>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</si>
  <si>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</si>
  <si>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</si>
  <si>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</si>
  <si>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</si>
  <si>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</si>
  <si>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</si>
  <si>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</si>
  <si>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</si>
  <si>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</si>
  <si>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</si>
  <si>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</si>
  <si>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</si>
  <si>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</si>
  <si>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</si>
  <si>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</si>
  <si>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</si>
  <si>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</si>
  <si>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</si>
  <si>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</si>
  <si>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</si>
  <si>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</si>
  <si>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</si>
  <si>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</si>
  <si>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</si>
  <si>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</si>
  <si>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</si>
  <si>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</si>
  <si>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</si>
  <si>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</si>
  <si>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</si>
  <si>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</si>
  <si>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</si>
  <si>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</si>
  <si>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</si>
  <si>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</si>
  <si>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</si>
  <si>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</si>
  <si>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</si>
  <si>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</si>
  <si>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</si>
  <si>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</si>
  <si>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</si>
  <si>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</si>
  <si>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</si>
  <si>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</si>
  <si>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</si>
  <si>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</si>
  <si>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</si>
  <si>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</si>
  <si>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</si>
  <si>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</si>
  <si>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</si>
  <si>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</si>
  <si>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</si>
  <si>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</si>
  <si>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</si>
  <si>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</si>
  <si>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</si>
  <si>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</si>
  <si>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</si>
  <si>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</si>
  <si>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</si>
  <si>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</si>
  <si>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</si>
  <si>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</si>
  <si>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</si>
  <si>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</si>
  <si>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</si>
  <si>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</si>
  <si>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</si>
  <si>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</si>
  <si>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</si>
  <si>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</si>
  <si>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</si>
  <si>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</si>
  <si>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</si>
  <si>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</si>
  <si>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</si>
  <si>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</si>
  <si>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</si>
  <si>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</si>
  <si>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</si>
  <si>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</si>
  <si>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</si>
  <si>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</si>
  <si>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</si>
  <si>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</si>
  <si>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</si>
  <si>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</si>
  <si>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</si>
  <si>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</si>
  <si>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</si>
  <si>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</si>
  <si>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</si>
  <si>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</si>
  <si>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</si>
  <si>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</si>
  <si>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</si>
  <si>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</si>
  <si>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</si>
  <si>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</si>
  <si>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</si>
  <si>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</si>
  <si>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</si>
  <si>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</si>
  <si>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</si>
  <si>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</si>
  <si>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</si>
  <si>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</si>
  <si>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</si>
  <si>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</si>
  <si>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</si>
  <si>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</si>
  <si>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</si>
  <si>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</si>
  <si>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</si>
  <si>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</si>
  <si>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</si>
  <si>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</si>
  <si>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</si>
  <si>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</si>
  <si>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</si>
  <si>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</si>
  <si>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</si>
  <si>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</si>
  <si>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</si>
  <si>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</si>
  <si>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</si>
  <si>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</si>
  <si>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</si>
  <si>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</si>
  <si>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</si>
  <si>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</si>
  <si>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</si>
  <si>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</si>
  <si>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</si>
  <si>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</si>
  <si>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</si>
  <si>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</si>
  <si>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</si>
  <si>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</si>
  <si>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</si>
  <si>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</si>
  <si>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</si>
  <si>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</si>
  <si>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</si>
  <si>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</si>
  <si>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</si>
  <si>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</si>
  <si>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</si>
  <si>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</si>
  <si>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</si>
  <si>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</si>
  <si>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</si>
  <si>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</si>
  <si>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</si>
  <si>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</si>
  <si>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</si>
  <si>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</si>
  <si>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</si>
  <si>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</si>
  <si>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</si>
  <si>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</si>
  <si>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</si>
  <si>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</si>
  <si>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</si>
  <si>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</si>
  <si>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</si>
  <si>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</si>
  <si>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</si>
  <si>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</si>
  <si>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</si>
  <si>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</si>
  <si>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</si>
  <si>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</si>
  <si>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</si>
  <si>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</si>
  <si>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</si>
  <si>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</si>
  <si>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</si>
  <si>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</si>
  <si>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</si>
  <si>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</si>
  <si>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</si>
  <si>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</si>
  <si>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</si>
  <si>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</si>
  <si>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</si>
  <si>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</si>
  <si>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</si>
  <si>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</si>
  <si>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</si>
  <si>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</si>
  <si>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</si>
  <si>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</si>
  <si>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</si>
  <si>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</si>
  <si>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</si>
  <si>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</si>
  <si>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</si>
  <si>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</si>
  <si>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</si>
  <si>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</si>
  <si>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</si>
  <si>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</si>
  <si>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</si>
  <si>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</si>
  <si>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</si>
  <si>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</si>
  <si>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</si>
  <si>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</si>
  <si>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</si>
  <si>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</si>
  <si>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</si>
  <si>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</si>
  <si>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</si>
  <si>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</si>
  <si>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</si>
  <si>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</si>
  <si>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</si>
  <si>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</si>
  <si>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</si>
  <si>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</si>
  <si>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</si>
  <si>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</si>
  <si>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</si>
  <si>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</si>
  <si>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</si>
  <si>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</si>
  <si>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</si>
  <si>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</si>
  <si>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</si>
  <si>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</si>
  <si>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</si>
  <si>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</si>
  <si>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</si>
  <si>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</si>
  <si>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</si>
  <si>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</si>
  <si>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</si>
  <si>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</si>
  <si>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</si>
  <si>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</si>
  <si>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</si>
  <si>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</si>
  <si>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</si>
  <si>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</si>
  <si>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</si>
  <si>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</si>
  <si>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</si>
  <si>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</si>
  <si>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</si>
  <si>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</si>
  <si>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</si>
  <si>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</si>
  <si>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</si>
  <si>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</si>
  <si>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</si>
  <si>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</si>
  <si>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</si>
  <si>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</si>
  <si>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</si>
  <si>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</si>
  <si>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</si>
  <si>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</si>
  <si>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</si>
  <si>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</si>
  <si>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</si>
  <si>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</si>
  <si>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</si>
  <si>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</si>
  <si>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</si>
  <si>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</si>
  <si>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</si>
  <si>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</si>
  <si>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</si>
  <si>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</si>
  <si>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</si>
  <si>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</si>
  <si>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</si>
  <si>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</si>
  <si>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</si>
  <si>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</si>
  <si>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</si>
  <si>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</si>
  <si>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</si>
  <si>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</si>
  <si>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</si>
  <si>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</si>
  <si>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</si>
  <si>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</si>
  <si>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</si>
  <si>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</si>
  <si>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</si>
  <si>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</si>
  <si>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</si>
  <si>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</si>
  <si>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</si>
  <si>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</si>
  <si>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</si>
  <si>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</si>
  <si>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</si>
  <si>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</si>
  <si>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</si>
  <si>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24028</t>
  </si>
  <si>
    <t>GEETBETS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</si>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</sst>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67589.658435989768</c:v>
                </c:pt>
                <c:pt idx="1">
                  <c:v>7088.5331976733332</c:v>
                </c:pt>
                <c:pt idx="2">
                  <c:v>375.87799999999999</c:v>
                </c:pt>
                <c:pt idx="3">
                  <c:v>14871.394021019019</c:v>
                </c:pt>
                <c:pt idx="4">
                  <c:v>1373.669668520783</c:v>
                </c:pt>
                <c:pt idx="5">
                  <c:v>29473.581805826103</c:v>
                </c:pt>
                <c:pt idx="6">
                  <c:v>541.12765824156031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67589.658435989768</c:v>
                </c:pt>
                <c:pt idx="1">
                  <c:v>7088.5331976733332</c:v>
                </c:pt>
                <c:pt idx="2">
                  <c:v>375.87799999999999</c:v>
                </c:pt>
                <c:pt idx="3">
                  <c:v>14871.394021019019</c:v>
                </c:pt>
                <c:pt idx="4">
                  <c:v>1373.669668520783</c:v>
                </c:pt>
                <c:pt idx="5">
                  <c:v>29473.581805826103</c:v>
                </c:pt>
                <c:pt idx="6">
                  <c:v>541.12765824156031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15108.592095903603</c:v>
                </c:pt>
                <c:pt idx="1">
                  <c:v>1312.9933869103604</c:v>
                </c:pt>
                <c:pt idx="2">
                  <c:v>67.702170972862817</c:v>
                </c:pt>
                <c:pt idx="3">
                  <c:v>3760.53884946581</c:v>
                </c:pt>
                <c:pt idx="4">
                  <c:v>259.64301681593025</c:v>
                </c:pt>
                <c:pt idx="5">
                  <c:v>7361.4649206988379</c:v>
                </c:pt>
                <c:pt idx="6">
                  <c:v>136.71620769742478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99296"/>
        <c:axId val="183058432"/>
      </c:barChart>
      <c:catAx>
        <c:axId val="182999296"/>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299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15108.592095903603</c:v>
                </c:pt>
                <c:pt idx="1">
                  <c:v>1312.9933869103604</c:v>
                </c:pt>
                <c:pt idx="2">
                  <c:v>67.702170972862817</c:v>
                </c:pt>
                <c:pt idx="3">
                  <c:v>3760.53884946581</c:v>
                </c:pt>
                <c:pt idx="4">
                  <c:v>259.64301681593025</c:v>
                </c:pt>
                <c:pt idx="5">
                  <c:v>7361.4649206988379</c:v>
                </c:pt>
                <c:pt idx="6">
                  <c:v>136.71620769742478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2440</v>
      </c>
      <c r="C9" s="342">
        <v>2473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2256.59</v>
      </c>
    </row>
    <row r="15" spans="1:6">
      <c r="A15" s="348" t="s">
        <v>184</v>
      </c>
      <c r="B15" s="334">
        <v>2575</v>
      </c>
    </row>
    <row r="16" spans="1:6">
      <c r="A16" s="348" t="s">
        <v>6</v>
      </c>
      <c r="B16" s="334">
        <v>425</v>
      </c>
    </row>
    <row r="17" spans="1:6">
      <c r="A17" s="348" t="s">
        <v>7</v>
      </c>
      <c r="B17" s="334">
        <v>565</v>
      </c>
    </row>
    <row r="18" spans="1:6">
      <c r="A18" s="348" t="s">
        <v>8</v>
      </c>
      <c r="B18" s="334">
        <v>723</v>
      </c>
    </row>
    <row r="19" spans="1:6">
      <c r="A19" s="348" t="s">
        <v>9</v>
      </c>
      <c r="B19" s="334">
        <v>565</v>
      </c>
    </row>
    <row r="20" spans="1:6">
      <c r="A20" s="348" t="s">
        <v>10</v>
      </c>
      <c r="B20" s="334">
        <v>358</v>
      </c>
    </row>
    <row r="21" spans="1:6">
      <c r="A21" s="348" t="s">
        <v>11</v>
      </c>
      <c r="B21" s="334">
        <v>0</v>
      </c>
    </row>
    <row r="22" spans="1:6">
      <c r="A22" s="348" t="s">
        <v>12</v>
      </c>
      <c r="B22" s="334">
        <v>654</v>
      </c>
    </row>
    <row r="23" spans="1:6">
      <c r="A23" s="348" t="s">
        <v>13</v>
      </c>
      <c r="B23" s="334">
        <v>0</v>
      </c>
    </row>
    <row r="24" spans="1:6">
      <c r="A24" s="348" t="s">
        <v>14</v>
      </c>
      <c r="B24" s="334">
        <v>0</v>
      </c>
    </row>
    <row r="25" spans="1:6">
      <c r="A25" s="348" t="s">
        <v>15</v>
      </c>
      <c r="B25" s="334">
        <v>0</v>
      </c>
    </row>
    <row r="26" spans="1:6">
      <c r="A26" s="348" t="s">
        <v>16</v>
      </c>
      <c r="B26" s="334">
        <v>96</v>
      </c>
    </row>
    <row r="27" spans="1:6">
      <c r="A27" s="348" t="s">
        <v>17</v>
      </c>
      <c r="B27" s="334">
        <v>0</v>
      </c>
    </row>
    <row r="28" spans="1:6" s="356" customFormat="1">
      <c r="A28" s="355" t="s">
        <v>18</v>
      </c>
      <c r="B28" s="355">
        <v>49533</v>
      </c>
    </row>
    <row r="29" spans="1:6">
      <c r="A29" s="355" t="s">
        <v>744</v>
      </c>
      <c r="B29" s="355">
        <v>89</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471</v>
      </c>
      <c r="D39" s="334">
        <v>7843489.9500000002</v>
      </c>
      <c r="E39" s="334">
        <v>2350</v>
      </c>
      <c r="F39" s="334">
        <v>8811847.6999999993</v>
      </c>
    </row>
    <row r="40" spans="1:6">
      <c r="A40" s="348" t="s">
        <v>30</v>
      </c>
      <c r="B40" s="348" t="s">
        <v>29</v>
      </c>
      <c r="C40" s="334">
        <v>0</v>
      </c>
      <c r="D40" s="334">
        <v>0</v>
      </c>
      <c r="E40" s="334">
        <v>0</v>
      </c>
      <c r="F40" s="334">
        <v>0</v>
      </c>
    </row>
    <row r="41" spans="1:6">
      <c r="A41" s="348" t="s">
        <v>32</v>
      </c>
      <c r="B41" s="348" t="s">
        <v>33</v>
      </c>
      <c r="C41" s="334">
        <v>9</v>
      </c>
      <c r="D41" s="334">
        <v>166627</v>
      </c>
      <c r="E41" s="334">
        <v>57</v>
      </c>
      <c r="F41" s="334">
        <v>414844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21516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169906</v>
      </c>
    </row>
    <row r="51" spans="1:6">
      <c r="A51" s="348" t="s">
        <v>42</v>
      </c>
      <c r="B51" s="348" t="s">
        <v>43</v>
      </c>
      <c r="C51" s="334">
        <v>0</v>
      </c>
      <c r="D51" s="334">
        <v>0</v>
      </c>
      <c r="E51" s="334">
        <v>94</v>
      </c>
      <c r="F51" s="334">
        <v>2784791.8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375878</v>
      </c>
    </row>
    <row r="55" spans="1:6">
      <c r="A55" s="348" t="s">
        <v>46</v>
      </c>
      <c r="B55" s="348" t="s">
        <v>29</v>
      </c>
      <c r="C55" s="334">
        <v>0</v>
      </c>
      <c r="D55" s="334">
        <v>0</v>
      </c>
      <c r="E55" s="334">
        <v>0</v>
      </c>
      <c r="F55" s="334">
        <v>0</v>
      </c>
    </row>
    <row r="56" spans="1:6">
      <c r="A56" s="348" t="s">
        <v>48</v>
      </c>
      <c r="B56" s="348" t="s">
        <v>29</v>
      </c>
      <c r="C56" s="334">
        <v>6</v>
      </c>
      <c r="D56" s="334">
        <v>225149</v>
      </c>
      <c r="E56" s="334">
        <v>8</v>
      </c>
      <c r="F56" s="334">
        <v>1044571</v>
      </c>
    </row>
    <row r="57" spans="1:6">
      <c r="A57" s="348" t="s">
        <v>49</v>
      </c>
      <c r="B57" s="348" t="s">
        <v>50</v>
      </c>
      <c r="C57" s="334">
        <v>6</v>
      </c>
      <c r="D57" s="334">
        <v>137449</v>
      </c>
      <c r="E57" s="334">
        <v>27</v>
      </c>
      <c r="F57" s="334">
        <v>428281</v>
      </c>
    </row>
    <row r="58" spans="1:6">
      <c r="A58" s="348" t="s">
        <v>49</v>
      </c>
      <c r="B58" s="348" t="s">
        <v>51</v>
      </c>
      <c r="C58" s="334">
        <v>4</v>
      </c>
      <c r="D58" s="334">
        <v>822863</v>
      </c>
      <c r="E58" s="334">
        <v>4</v>
      </c>
      <c r="F58" s="334">
        <v>435025</v>
      </c>
    </row>
    <row r="59" spans="1:6">
      <c r="A59" s="348" t="s">
        <v>49</v>
      </c>
      <c r="B59" s="348" t="s">
        <v>52</v>
      </c>
      <c r="C59" s="334">
        <v>8</v>
      </c>
      <c r="D59" s="334">
        <v>233113</v>
      </c>
      <c r="E59" s="334">
        <v>60</v>
      </c>
      <c r="F59" s="334">
        <v>1876224.8</v>
      </c>
    </row>
    <row r="60" spans="1:6">
      <c r="A60" s="348" t="s">
        <v>49</v>
      </c>
      <c r="B60" s="348" t="s">
        <v>53</v>
      </c>
      <c r="C60" s="334">
        <v>4</v>
      </c>
      <c r="D60" s="334">
        <v>459924</v>
      </c>
      <c r="E60" s="334">
        <v>17</v>
      </c>
      <c r="F60" s="334">
        <v>527304</v>
      </c>
    </row>
    <row r="61" spans="1:6">
      <c r="A61" s="348" t="s">
        <v>49</v>
      </c>
      <c r="B61" s="348" t="s">
        <v>54</v>
      </c>
      <c r="C61" s="334">
        <v>15</v>
      </c>
      <c r="D61" s="334">
        <v>463418.4</v>
      </c>
      <c r="E61" s="334">
        <v>76</v>
      </c>
      <c r="F61" s="334">
        <v>637216.4</v>
      </c>
    </row>
    <row r="62" spans="1:6">
      <c r="A62" s="348" t="s">
        <v>49</v>
      </c>
      <c r="B62" s="348" t="s">
        <v>55</v>
      </c>
      <c r="C62" s="334">
        <v>0</v>
      </c>
      <c r="D62" s="334">
        <v>0</v>
      </c>
      <c r="E62" s="334">
        <v>4</v>
      </c>
      <c r="F62" s="334">
        <v>85864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7753389</v>
      </c>
      <c r="E73" s="476">
        <v>7875844.8353397381</v>
      </c>
    </row>
    <row r="74" spans="1:6">
      <c r="A74" s="348" t="s">
        <v>64</v>
      </c>
      <c r="B74" s="348" t="s">
        <v>657</v>
      </c>
      <c r="C74" s="1213" t="s">
        <v>659</v>
      </c>
      <c r="D74" s="476">
        <v>423118.5676752791</v>
      </c>
      <c r="E74" s="476">
        <v>437099.77907885425</v>
      </c>
    </row>
    <row r="75" spans="1:6">
      <c r="A75" s="348" t="s">
        <v>65</v>
      </c>
      <c r="B75" s="348" t="s">
        <v>656</v>
      </c>
      <c r="C75" s="1213" t="s">
        <v>660</v>
      </c>
      <c r="D75" s="476">
        <v>22799606</v>
      </c>
      <c r="E75" s="476">
        <v>23126431.612027094</v>
      </c>
    </row>
    <row r="76" spans="1:6">
      <c r="A76" s="348" t="s">
        <v>65</v>
      </c>
      <c r="B76" s="348" t="s">
        <v>657</v>
      </c>
      <c r="C76" s="1213" t="s">
        <v>661</v>
      </c>
      <c r="D76" s="476">
        <v>789906.5676752791</v>
      </c>
      <c r="E76" s="476">
        <v>808157.09080653475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146762.86464944173</v>
      </c>
      <c r="C83" s="476">
        <v>146962.58719214762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2170.9813480165226</v>
      </c>
    </row>
    <row r="92" spans="1:6">
      <c r="A92" s="341" t="s">
        <v>69</v>
      </c>
      <c r="B92" s="342">
        <v>1297.8788039943295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28</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18751.699697485976</v>
      </c>
      <c r="C3" s="43" t="s">
        <v>170</v>
      </c>
      <c r="D3" s="43"/>
      <c r="E3" s="154"/>
      <c r="F3" s="43"/>
      <c r="G3" s="43"/>
      <c r="H3" s="43"/>
      <c r="I3" s="43"/>
      <c r="J3" s="43"/>
      <c r="K3" s="96"/>
    </row>
    <row r="4" spans="1:11">
      <c r="A4" s="383" t="s">
        <v>171</v>
      </c>
      <c r="B4" s="49">
        <f>IF(ISERROR('SEAP template'!B69),0,'SEAP template'!B69)</f>
        <v>3468.8601520108523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0.18011740770373053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375.87799999999999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375.87799999999999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0.18011740770373053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67.702170972862817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8811.8476999999984</v>
      </c>
      <c r="C5" s="17">
        <f>IF(ISERROR('Eigen informatie GS &amp; warmtenet'!B57),0,'Eigen informatie GS &amp; warmtenet'!B57)</f>
        <v>0</v>
      </c>
      <c r="D5" s="30">
        <f>(SUM(HH_hh_gas_kWh,HH_rest_gas_kWh)/1000)*0.902</f>
        <v>7074.8279349000004</v>
      </c>
      <c r="E5" s="17">
        <f>B46*B57</f>
        <v>2586.4445285482198</v>
      </c>
      <c r="F5" s="17">
        <f>B51*B62</f>
        <v>39774.763595990989</v>
      </c>
      <c r="G5" s="18"/>
      <c r="H5" s="17"/>
      <c r="I5" s="17"/>
      <c r="J5" s="17">
        <f>B50*B61+C50*C61</f>
        <v>1396.3089479146765</v>
      </c>
      <c r="K5" s="17"/>
      <c r="L5" s="17"/>
      <c r="M5" s="17"/>
      <c r="N5" s="17">
        <f>B48*B59+C48*C59</f>
        <v>4339.4277139526939</v>
      </c>
      <c r="O5" s="17">
        <f>B69*B70*B71</f>
        <v>176.65666666666667</v>
      </c>
      <c r="P5" s="17">
        <f>B77*B78*B79/1000-B77*B78*B79/1000/B80</f>
        <v>1258.4000000000001</v>
      </c>
    </row>
    <row r="6" spans="1:16">
      <c r="A6" s="16" t="s">
        <v>621</v>
      </c>
      <c r="B6" s="843">
        <f>kWh_PV_kleiner_dan_10kW</f>
        <v>2170.9813480165226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10982.829048016521</v>
      </c>
      <c r="C8" s="21">
        <f>C5</f>
        <v>0</v>
      </c>
      <c r="D8" s="21">
        <f>D5</f>
        <v>7074.8279349000004</v>
      </c>
      <c r="E8" s="21">
        <f>E5</f>
        <v>2586.4445285482198</v>
      </c>
      <c r="F8" s="21">
        <f>F5</f>
        <v>39774.763595990989</v>
      </c>
      <c r="G8" s="21"/>
      <c r="H8" s="21"/>
      <c r="I8" s="21"/>
      <c r="J8" s="21">
        <f>J5</f>
        <v>1396.3089479146765</v>
      </c>
      <c r="K8" s="21"/>
      <c r="L8" s="21">
        <f>L5</f>
        <v>0</v>
      </c>
      <c r="M8" s="21">
        <f>M5</f>
        <v>0</v>
      </c>
      <c r="N8" s="21">
        <f>N5</f>
        <v>4339.4277139526939</v>
      </c>
      <c r="O8" s="21">
        <f>O5</f>
        <v>176.65666666666667</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0.18011740770373053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1978.1986973819664</v>
      </c>
      <c r="C12" s="23">
        <f ca="1">C10*C8</f>
        <v>0</v>
      </c>
      <c r="D12" s="23">
        <f>D8*D10</f>
        <v>1429.1152428498001</v>
      </c>
      <c r="E12" s="23">
        <f>E10*E8</f>
        <v>587.12290798044592</v>
      </c>
      <c r="F12" s="23">
        <f>F10*F8</f>
        <v>10619.861880129594</v>
      </c>
      <c r="G12" s="23"/>
      <c r="H12" s="23"/>
      <c r="I12" s="23"/>
      <c r="J12" s="23">
        <f>J10*J8</f>
        <v>494.29336756179549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2440</v>
      </c>
      <c r="C28" s="36"/>
      <c r="D28" s="228"/>
    </row>
    <row r="29" spans="1:7" s="15" customFormat="1">
      <c r="A29" s="230" t="s">
        <v>795</v>
      </c>
      <c r="B29" s="37">
        <f>SUM(HH_hh_gas_aantal,HH_rest_gas_aantal)</f>
        <v>471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471</v>
      </c>
      <c r="C32" s="167">
        <f>IF(ISERROR(B32/SUM($B$32,$B$34,$B$35,$B$36,$B$38,$B$39)*100),0,B32/SUM($B$32,$B$34,$B$35,$B$36,$B$38,$B$39)*100)</f>
        <v>19.839932603201348</v>
      </c>
      <c r="D32" s="233"/>
      <c r="G32" s="15"/>
    </row>
    <row r="33" spans="1:7">
      <c r="A33" s="171" t="s">
        <v>72</v>
      </c>
      <c r="B33" s="34" t="s">
        <v>111</v>
      </c>
      <c r="C33" s="167"/>
      <c r="D33" s="233"/>
      <c r="G33" s="15"/>
    </row>
    <row r="34" spans="1:7">
      <c r="A34" s="171" t="s">
        <v>73</v>
      </c>
      <c r="B34" s="33">
        <f>IF((($B$28-$B$32-$B$39-$B$77-$B$38)*C20/100)&lt;0,0,($B$28-$B$32-$B$39-$B$77-$B$38)*C20/100)</f>
        <v>122.15517241379307</v>
      </c>
      <c r="C34" s="167">
        <f>IF(ISERROR(B34/SUM($B$32,$B$34,$B$35,$B$36,$B$38,$B$39)*100),0,B34/SUM($B$32,$B$34,$B$35,$B$36,$B$38,$B$39)*100)</f>
        <v>5.1455422246753608</v>
      </c>
      <c r="D34" s="233"/>
      <c r="G34" s="15"/>
    </row>
    <row r="35" spans="1:7">
      <c r="A35" s="171" t="s">
        <v>74</v>
      </c>
      <c r="B35" s="33">
        <f>IF((($B$28-$B$32-$B$39-$B$77-$B$38)*C21/100)&lt;0,0,($B$28-$B$32-$B$39-$B$77-$B$38)*C21/100)</f>
        <v>144.7068965517241</v>
      </c>
      <c r="C35" s="167">
        <f>IF(ISERROR(B35/SUM($B$32,$B$34,$B$35,$B$36,$B$38,$B$39)*100),0,B35/SUM($B$32,$B$34,$B$35,$B$36,$B$38,$B$39)*100)</f>
        <v>6.0954884815385046</v>
      </c>
      <c r="D35" s="233"/>
      <c r="G35" s="15"/>
    </row>
    <row r="36" spans="1:7">
      <c r="A36" s="171" t="s">
        <v>75</v>
      </c>
      <c r="B36" s="33">
        <f>IF((($B$28-$B$32-$B$39-$B$77-$B$38)*C22/100)&lt;0,0,($B$28-$B$32-$B$39-$B$77-$B$38)*C22/100)</f>
        <v>60.137931034482733</v>
      </c>
      <c r="C36" s="167">
        <f>IF(ISERROR(B36/SUM($B$32,$B$34,$B$35,$B$36,$B$38,$B$39)*100),0,B36/SUM($B$32,$B$34,$B$35,$B$36,$B$38,$B$39)*100)</f>
        <v>2.533190018301716</v>
      </c>
      <c r="D36" s="233"/>
      <c r="G36" s="15"/>
    </row>
    <row r="37" spans="1:7">
      <c r="A37" s="171" t="s">
        <v>76</v>
      </c>
      <c r="B37" s="34" t="s">
        <v>111</v>
      </c>
      <c r="C37" s="167"/>
      <c r="D37" s="173"/>
      <c r="G37" s="15"/>
    </row>
    <row r="38" spans="1:7">
      <c r="A38" s="171" t="s">
        <v>77</v>
      </c>
      <c r="B38" s="33">
        <f>IF((B24-(B29-B18)*0.1)&lt;0,0,B24-(B29-B18)*0.1)</f>
        <v>39.599999999999994</v>
      </c>
      <c r="C38" s="167">
        <f>IF(ISERROR(B38/SUM($B$32,$B$34,$B$35,$B$36,$B$38,$B$39)*100),0,B38/SUM($B$32,$B$34,$B$35,$B$36,$B$38,$B$39)*100)</f>
        <v>1.6680707666385846</v>
      </c>
      <c r="D38" s="234"/>
      <c r="G38" s="15"/>
    </row>
    <row r="39" spans="1:7">
      <c r="A39" s="171" t="s">
        <v>78</v>
      </c>
      <c r="B39" s="33">
        <f>IF((B25-(B29-B18))&lt;0,0,B25-(B29-B18)*0.9)</f>
        <v>1536.4</v>
      </c>
      <c r="C39" s="167">
        <f>IF(ISERROR(B39/SUM($B$32,$B$34,$B$35,$B$36,$B$38,$B$39)*100),0,B39/SUM($B$32,$B$34,$B$35,$B$36,$B$38,$B$39)*100)</f>
        <v>64.717775905644487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471</v>
      </c>
      <c r="C44" s="34" t="s">
        <v>111</v>
      </c>
      <c r="D44" s="174"/>
    </row>
    <row r="45" spans="1:7">
      <c r="A45" s="171" t="s">
        <v>72</v>
      </c>
      <c r="B45" s="33" t="str">
        <f t="shared" si="0"/>
        <v>-</v>
      </c>
      <c r="C45" s="34" t="s">
        <v>111</v>
      </c>
      <c r="D45" s="174"/>
    </row>
    <row r="46" spans="1:7">
      <c r="A46" s="171" t="s">
        <v>73</v>
      </c>
      <c r="B46" s="33">
        <f t="shared" si="0"/>
        <v>122.15517241379307</v>
      </c>
      <c r="C46" s="34" t="s">
        <v>111</v>
      </c>
      <c r="D46" s="174"/>
    </row>
    <row r="47" spans="1:7">
      <c r="A47" s="171" t="s">
        <v>74</v>
      </c>
      <c r="B47" s="33">
        <f t="shared" si="0"/>
        <v>144.7068965517241</v>
      </c>
      <c r="C47" s="34" t="s">
        <v>111</v>
      </c>
      <c r="D47" s="174"/>
    </row>
    <row r="48" spans="1:7">
      <c r="A48" s="171" t="s">
        <v>75</v>
      </c>
      <c r="B48" s="33">
        <f t="shared" si="0"/>
        <v>60.137931034482733</v>
      </c>
      <c r="C48" s="33">
        <f>B48*10</f>
        <v>601.37931034482733</v>
      </c>
      <c r="D48" s="234"/>
    </row>
    <row r="49" spans="1:6">
      <c r="A49" s="171" t="s">
        <v>76</v>
      </c>
      <c r="B49" s="33" t="str">
        <f t="shared" si="0"/>
        <v>-</v>
      </c>
      <c r="C49" s="34" t="s">
        <v>111</v>
      </c>
      <c r="D49" s="234"/>
    </row>
    <row r="50" spans="1:6">
      <c r="A50" s="171" t="s">
        <v>77</v>
      </c>
      <c r="B50" s="33">
        <f t="shared" si="0"/>
        <v>39.599999999999994</v>
      </c>
      <c r="C50" s="33">
        <f>B50*2</f>
        <v>79.199999999999989</v>
      </c>
      <c r="D50" s="234"/>
    </row>
    <row r="51" spans="1:6">
      <c r="A51" s="171" t="s">
        <v>78</v>
      </c>
      <c r="B51" s="33">
        <f t="shared" si="0"/>
        <v>1536.4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3989.9151999999999</v>
      </c>
      <c r="C5" s="17">
        <f>IF(ISERROR('Eigen informatie GS &amp; warmtenet'!B58),0,'Eigen informatie GS &amp; warmtenet'!B58)</f>
        <v>0</v>
      </c>
      <c r="D5" s="30">
        <f>SUM(D6:D12)</f>
        <v>1909.3241948000002</v>
      </c>
      <c r="E5" s="17">
        <f>SUM(E6:E12)</f>
        <v>77.438623409500437</v>
      </c>
      <c r="F5" s="17">
        <f>SUM(F6:F12)</f>
        <v>715.63617368648772</v>
      </c>
      <c r="G5" s="18"/>
      <c r="H5" s="17"/>
      <c r="I5" s="17"/>
      <c r="J5" s="17">
        <f>SUM(J6:J12)</f>
        <v>9.2963016948353749E-3</v>
      </c>
      <c r="K5" s="17"/>
      <c r="L5" s="17"/>
      <c r="M5" s="17"/>
      <c r="N5" s="17">
        <f>SUM(N6:N12)</f>
        <v>374.01637614231748</v>
      </c>
      <c r="O5" s="17">
        <f>B38*B39*B40</f>
        <v>3.1266666666666669</v>
      </c>
      <c r="P5" s="17">
        <f>B46*B47*B48/1000-B46*B47*B48/1000/B49</f>
        <v>19.066666666666666</v>
      </c>
      <c r="R5" s="32"/>
    </row>
    <row r="6" spans="1:18">
      <c r="A6" s="32" t="s">
        <v>54</v>
      </c>
      <c r="B6" s="37">
        <f>B26</f>
        <v>637.21640000000002</v>
      </c>
      <c r="C6" s="33"/>
      <c r="D6" s="37">
        <f>IF(ISERROR(TER_kantoor_gas_kWh/1000),0,TER_kantoor_gas_kWh/1000)*0.902</f>
        <v>418.00339680000002</v>
      </c>
      <c r="E6" s="33">
        <f>$C$26*'E Balans VL '!I12/100/3.6*1000000</f>
        <v>3.9938604603456185E-3</v>
      </c>
      <c r="F6" s="33">
        <f>$C$26*('E Balans VL '!L12+'E Balans VL '!N12)/100/3.6*1000000</f>
        <v>95.755819395604135</v>
      </c>
      <c r="G6" s="34"/>
      <c r="H6" s="33"/>
      <c r="I6" s="33"/>
      <c r="J6" s="33">
        <f>$C$26*('E Balans VL '!D12+'E Balans VL '!E12)/100/3.6*1000000</f>
        <v>0</v>
      </c>
      <c r="K6" s="33"/>
      <c r="L6" s="33"/>
      <c r="M6" s="33"/>
      <c r="N6" s="33">
        <f>$C$26*'E Balans VL '!Y12/100/3.6*1000000</f>
        <v>0.60940300890032362</v>
      </c>
      <c r="O6" s="33"/>
      <c r="P6" s="33"/>
      <c r="R6" s="32"/>
    </row>
    <row r="7" spans="1:18">
      <c r="A7" s="32" t="s">
        <v>53</v>
      </c>
      <c r="B7" s="37">
        <f t="shared" ref="B7:B12" si="0">B27</f>
        <v>527.30399999999997</v>
      </c>
      <c r="C7" s="33"/>
      <c r="D7" s="37">
        <f>IF(ISERROR(TER_horeca_gas_kWh/1000),0,TER_horeca_gas_kWh/1000)*0.902</f>
        <v>414.851448</v>
      </c>
      <c r="E7" s="33">
        <f>$C$27*'E Balans VL '!I9/100/3.6*1000000</f>
        <v>7.5509054479205764</v>
      </c>
      <c r="F7" s="33">
        <f>$C$27*('E Balans VL '!L9+'E Balans VL '!N9)/100/3.6*1000000</f>
        <v>66.77407755592931</v>
      </c>
      <c r="G7" s="34"/>
      <c r="H7" s="33"/>
      <c r="I7" s="33"/>
      <c r="J7" s="33">
        <f>$C$27*('E Balans VL '!D9+'E Balans VL '!E9)/100/3.6*1000000</f>
        <v>0</v>
      </c>
      <c r="K7" s="33"/>
      <c r="L7" s="33"/>
      <c r="M7" s="33"/>
      <c r="N7" s="33">
        <f>$C$27*'E Balans VL '!Y9/100/3.6*1000000</f>
        <v>0.1515882739447767</v>
      </c>
      <c r="O7" s="33"/>
      <c r="P7" s="33"/>
      <c r="R7" s="32"/>
    </row>
    <row r="8" spans="1:18">
      <c r="A8" s="6" t="s">
        <v>52</v>
      </c>
      <c r="B8" s="37">
        <f t="shared" si="0"/>
        <v>1876.2248</v>
      </c>
      <c r="C8" s="33"/>
      <c r="D8" s="37">
        <f>IF(ISERROR(TER_handel_gas_kWh/1000),0,TER_handel_gas_kWh/1000)*0.902</f>
        <v>210.26792600000002</v>
      </c>
      <c r="E8" s="33">
        <f>$C$28*'E Balans VL '!I13/100/3.6*1000000</f>
        <v>68.050442130323205</v>
      </c>
      <c r="F8" s="33">
        <f>$C$28*('E Balans VL '!L13+'E Balans VL '!N13)/100/3.6*1000000</f>
        <v>361.37989446395409</v>
      </c>
      <c r="G8" s="34"/>
      <c r="H8" s="33"/>
      <c r="I8" s="33"/>
      <c r="J8" s="33">
        <f>$C$28*('E Balans VL '!D13+'E Balans VL '!E13)/100/3.6*1000000</f>
        <v>0</v>
      </c>
      <c r="K8" s="33"/>
      <c r="L8" s="33"/>
      <c r="M8" s="33"/>
      <c r="N8" s="33">
        <f>$C$28*'E Balans VL '!Y13/100/3.6*1000000</f>
        <v>2.5990030480732336</v>
      </c>
      <c r="O8" s="33"/>
      <c r="P8" s="33"/>
      <c r="R8" s="32"/>
    </row>
    <row r="9" spans="1:18">
      <c r="A9" s="32" t="s">
        <v>51</v>
      </c>
      <c r="B9" s="37">
        <f t="shared" si="0"/>
        <v>435.02499999999998</v>
      </c>
      <c r="C9" s="33"/>
      <c r="D9" s="37">
        <f>IF(ISERROR(TER_gezond_gas_kWh/1000),0,TER_gezond_gas_kWh/1000)*0.902</f>
        <v>742.22242600000004</v>
      </c>
      <c r="E9" s="33">
        <f>$C$29*'E Balans VL '!I10/100/3.6*1000000</f>
        <v>2.7236860095921057E-2</v>
      </c>
      <c r="F9" s="33">
        <f>$C$29*('E Balans VL '!L10+'E Balans VL '!N10)/100/3.6*1000000</f>
        <v>64.624288274983911</v>
      </c>
      <c r="G9" s="34"/>
      <c r="H9" s="33"/>
      <c r="I9" s="33"/>
      <c r="J9" s="33">
        <f>$C$29*('E Balans VL '!D10+'E Balans VL '!E10)/100/3.6*1000000</f>
        <v>0</v>
      </c>
      <c r="K9" s="33"/>
      <c r="L9" s="33"/>
      <c r="M9" s="33"/>
      <c r="N9" s="33">
        <f>$C$29*'E Balans VL '!Y10/100/3.6*1000000</f>
        <v>6.7290086763243568</v>
      </c>
      <c r="O9" s="33"/>
      <c r="P9" s="33"/>
      <c r="R9" s="32"/>
    </row>
    <row r="10" spans="1:18">
      <c r="A10" s="32" t="s">
        <v>50</v>
      </c>
      <c r="B10" s="37">
        <f t="shared" si="0"/>
        <v>428.28100000000001</v>
      </c>
      <c r="C10" s="33"/>
      <c r="D10" s="37">
        <f>IF(ISERROR(TER_ander_gas_kWh/1000),0,TER_ander_gas_kWh/1000)*0.902</f>
        <v>123.97899800000002</v>
      </c>
      <c r="E10" s="33">
        <f>$C$30*'E Balans VL '!I14/100/3.6*1000000</f>
        <v>0.51049564782301138</v>
      </c>
      <c r="F10" s="33">
        <f>$C$30*('E Balans VL '!L14+'E Balans VL '!N14)/100/3.6*1000000</f>
        <v>112.05734947780815</v>
      </c>
      <c r="G10" s="34"/>
      <c r="H10" s="33"/>
      <c r="I10" s="33"/>
      <c r="J10" s="33">
        <f>$C$30*('E Balans VL '!D14+'E Balans VL '!E14)/100/3.6*1000000</f>
        <v>9.2963016948353749E-3</v>
      </c>
      <c r="K10" s="33"/>
      <c r="L10" s="33"/>
      <c r="M10" s="33"/>
      <c r="N10" s="33">
        <f>$C$30*'E Balans VL '!Y14/100/3.6*1000000</f>
        <v>363.68574531144492</v>
      </c>
      <c r="O10" s="33"/>
      <c r="P10" s="33"/>
      <c r="R10" s="32"/>
    </row>
    <row r="11" spans="1:18">
      <c r="A11" s="32" t="s">
        <v>55</v>
      </c>
      <c r="B11" s="37">
        <f t="shared" si="0"/>
        <v>85.864000000000004</v>
      </c>
      <c r="C11" s="33"/>
      <c r="D11" s="37">
        <f>IF(ISERROR(TER_onderwijs_gas_kWh/1000),0,TER_onderwijs_gas_kWh/1000)*0.902</f>
        <v>0</v>
      </c>
      <c r="E11" s="33">
        <f>$C$31*'E Balans VL '!I11/100/3.6*1000000</f>
        <v>1.2955494628773689</v>
      </c>
      <c r="F11" s="33">
        <f>$C$31*('E Balans VL '!L11+'E Balans VL '!N11)/100/3.6*1000000</f>
        <v>15.044744518208159</v>
      </c>
      <c r="G11" s="34"/>
      <c r="H11" s="33"/>
      <c r="I11" s="33"/>
      <c r="J11" s="33">
        <f>$C$31*('E Balans VL '!D11+'E Balans VL '!E11)/100/3.6*1000000</f>
        <v>0</v>
      </c>
      <c r="K11" s="33"/>
      <c r="L11" s="33"/>
      <c r="M11" s="33"/>
      <c r="N11" s="33">
        <f>$C$31*'E Balans VL '!Y11/100/3.6*1000000</f>
        <v>0.24162782362986435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3989.9151999999999</v>
      </c>
      <c r="C16" s="21">
        <f t="shared" ca="1" si="1"/>
        <v>0</v>
      </c>
      <c r="D16" s="21">
        <f t="shared" ca="1" si="1"/>
        <v>1909.3241948000002</v>
      </c>
      <c r="E16" s="21">
        <f t="shared" si="1"/>
        <v>77.438623409500437</v>
      </c>
      <c r="F16" s="21">
        <f t="shared" ca="1" si="1"/>
        <v>715.63617368648772</v>
      </c>
      <c r="G16" s="21">
        <f t="shared" si="1"/>
        <v>0</v>
      </c>
      <c r="H16" s="21">
        <f t="shared" si="1"/>
        <v>0</v>
      </c>
      <c r="I16" s="21">
        <f t="shared" si="1"/>
        <v>0</v>
      </c>
      <c r="J16" s="21">
        <f t="shared" si="1"/>
        <v>9.2963016948353749E-3</v>
      </c>
      <c r="K16" s="21">
        <f t="shared" si="1"/>
        <v>0</v>
      </c>
      <c r="L16" s="21">
        <f t="shared" ca="1" si="1"/>
        <v>0</v>
      </c>
      <c r="M16" s="21">
        <f t="shared" si="1"/>
        <v>0</v>
      </c>
      <c r="N16" s="21">
        <f t="shared" ca="1" si="1"/>
        <v>374.01637614231748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0.18011740770373053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718.65318278171151</v>
      </c>
      <c r="C20" s="23">
        <f t="shared" ref="C20:P20" ca="1" si="2">C16*C18</f>
        <v>0</v>
      </c>
      <c r="D20" s="23">
        <f t="shared" ca="1" si="2"/>
        <v>385.68348734960006</v>
      </c>
      <c r="E20" s="23">
        <f t="shared" si="2"/>
        <v>17.5785675139566</v>
      </c>
      <c r="F20" s="23">
        <f t="shared" ca="1" si="2"/>
        <v>191.07485837429223</v>
      </c>
      <c r="G20" s="23">
        <f t="shared" si="2"/>
        <v>0</v>
      </c>
      <c r="H20" s="23">
        <f t="shared" si="2"/>
        <v>0</v>
      </c>
      <c r="I20" s="23">
        <f t="shared" si="2"/>
        <v>0</v>
      </c>
      <c r="J20" s="23">
        <f t="shared" si="2"/>
        <v>3.2908907999717224E-3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637.21640000000002</v>
      </c>
      <c r="C26" s="39">
        <f>IF(ISERROR(B26*3.6/1000000/'E Balans VL '!Z12*100),0,B26*3.6/1000000/'E Balans VL '!Z12*100)</f>
        <v>1.3469745263685435E-2</v>
      </c>
      <c r="D26" s="237" t="s">
        <v>754</v>
      </c>
      <c r="F26" s="6"/>
    </row>
    <row r="27" spans="1:18">
      <c r="A27" s="231" t="s">
        <v>53</v>
      </c>
      <c r="B27" s="33">
        <f>IF(ISERROR(TER_horeca_ele_kWh/1000),0,TER_horeca_ele_kWh/1000)</f>
        <v>527.30399999999997</v>
      </c>
      <c r="C27" s="39">
        <f>IF(ISERROR(B27*3.6/1000000/'E Balans VL '!Z9*100),0,B27*3.6/1000000/'E Balans VL '!Z9*100)</f>
        <v>4.156717778376566E-2</v>
      </c>
      <c r="D27" s="237" t="s">
        <v>754</v>
      </c>
      <c r="F27" s="6"/>
    </row>
    <row r="28" spans="1:18">
      <c r="A28" s="171" t="s">
        <v>52</v>
      </c>
      <c r="B28" s="33">
        <f>IF(ISERROR(TER_handel_ele_kWh/1000),0,TER_handel_ele_kWh/1000)</f>
        <v>1876.2248</v>
      </c>
      <c r="C28" s="39">
        <f>IF(ISERROR(B28*3.6/1000000/'E Balans VL '!Z13*100),0,B28*3.6/1000000/'E Balans VL '!Z13*100)</f>
        <v>5.445562449366665E-2</v>
      </c>
      <c r="D28" s="237" t="s">
        <v>754</v>
      </c>
      <c r="F28" s="6"/>
    </row>
    <row r="29" spans="1:18">
      <c r="A29" s="231" t="s">
        <v>51</v>
      </c>
      <c r="B29" s="33">
        <f>IF(ISERROR(TER_gezond_ele_kWh/1000),0,TER_gezond_ele_kWh/1000)</f>
        <v>435.02499999999998</v>
      </c>
      <c r="C29" s="39">
        <f>IF(ISERROR(B29*3.6/1000000/'E Balans VL '!Z10*100),0,B29*3.6/1000000/'E Balans VL '!Z10*100)</f>
        <v>4.5815275799055484E-2</v>
      </c>
      <c r="D29" s="237" t="s">
        <v>754</v>
      </c>
      <c r="F29" s="6"/>
    </row>
    <row r="30" spans="1:18">
      <c r="A30" s="231" t="s">
        <v>50</v>
      </c>
      <c r="B30" s="33">
        <f>IF(ISERROR(TER_ander_ele_kWh/1000),0,TER_ander_ele_kWh/1000)</f>
        <v>428.28100000000001</v>
      </c>
      <c r="C30" s="39">
        <f>IF(ISERROR(B30*3.6/1000000/'E Balans VL '!Z14*100),0,B30*3.6/1000000/'E Balans VL '!Z14*100)</f>
        <v>3.1590099582170468E-2</v>
      </c>
      <c r="D30" s="237" t="s">
        <v>754</v>
      </c>
      <c r="F30" s="6"/>
    </row>
    <row r="31" spans="1:18">
      <c r="A31" s="231" t="s">
        <v>55</v>
      </c>
      <c r="B31" s="33">
        <f>IF(ISERROR(TER_onderwijs_ele_kWh/1000),0,TER_onderwijs_ele_kWh/1000)</f>
        <v>85.864000000000004</v>
      </c>
      <c r="C31" s="39">
        <f>IF(ISERROR(B31*3.6/1000000/'E Balans VL '!Z11*100),0,B31*3.6/1000000/'E Balans VL '!Z11*100)</f>
        <v>2.1324053306630144E-2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606.26600000000008</v>
      </c>
      <c r="C5" s="17">
        <f>IF(ISERROR('Eigen informatie GS &amp; warmtenet'!B59),0,'Eigen informatie GS &amp; warmtenet'!B59)</f>
        <v>0</v>
      </c>
      <c r="D5" s="30">
        <f>SUM(D6:D15)</f>
        <v>150.29755400000002</v>
      </c>
      <c r="E5" s="17">
        <f>SUM(E6:E15)</f>
        <v>121.82423487718752</v>
      </c>
      <c r="F5" s="17">
        <f>SUM(F6:F15)</f>
        <v>346.17883629924637</v>
      </c>
      <c r="G5" s="18"/>
      <c r="H5" s="17"/>
      <c r="I5" s="17"/>
      <c r="J5" s="17">
        <f>SUM(J6:J15)</f>
        <v>0</v>
      </c>
      <c r="K5" s="17"/>
      <c r="L5" s="17"/>
      <c r="M5" s="17"/>
      <c r="N5" s="17">
        <f>SUM(N6:N15)</f>
        <v>149.10304334434912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21.515999999999998</v>
      </c>
      <c r="C8" s="33"/>
      <c r="D8" s="37">
        <f>IF( ISERROR(IND_metaal_Gas_kWH/1000),0,IND_metaal_Gas_kWH/1000)*0.902</f>
        <v>0</v>
      </c>
      <c r="E8" s="33">
        <f>C30*'E Balans VL '!I18/100/3.6*1000000</f>
        <v>0.19781883964957825</v>
      </c>
      <c r="F8" s="33">
        <f>C30*'E Balans VL '!L18/100/3.6*1000000+C30*'E Balans VL '!N18/100/3.6*1000000</f>
        <v>2.0174844598487653</v>
      </c>
      <c r="G8" s="34"/>
      <c r="H8" s="33"/>
      <c r="I8" s="33"/>
      <c r="J8" s="40">
        <f>C30*'E Balans VL '!D18/100/3.6*1000000+C30*'E Balans VL '!E18/100/3.6*1000000</f>
        <v>0</v>
      </c>
      <c r="K8" s="33"/>
      <c r="L8" s="33"/>
      <c r="M8" s="33"/>
      <c r="N8" s="33">
        <f>C30*'E Balans VL '!Y18/100/3.6*1000000</f>
        <v>0.30696129668732935</v>
      </c>
      <c r="O8" s="33"/>
      <c r="P8" s="33"/>
      <c r="R8" s="32"/>
    </row>
    <row r="9" spans="1:18">
      <c r="A9" s="6" t="s">
        <v>33</v>
      </c>
      <c r="B9" s="37">
        <f t="shared" si="0"/>
        <v>414.84399999999999</v>
      </c>
      <c r="C9" s="33"/>
      <c r="D9" s="37">
        <f>IF( ISERROR(IND_andere_gas_kWh/1000),0,IND_andere_gas_kWh/1000)*0.902</f>
        <v>150.29755400000002</v>
      </c>
      <c r="E9" s="33">
        <f>C31*'E Balans VL '!I19/100/3.6*1000000</f>
        <v>121.2669772601142</v>
      </c>
      <c r="F9" s="33">
        <f>C31*'E Balans VL '!L19/100/3.6*1000000+C31*'E Balans VL '!N19/100/3.6*1000000</f>
        <v>333.35855480550799</v>
      </c>
      <c r="G9" s="34"/>
      <c r="H9" s="33"/>
      <c r="I9" s="33"/>
      <c r="J9" s="40">
        <f>C31*'E Balans VL '!D19/100/3.6*1000000+C31*'E Balans VL '!E19/100/3.6*1000000</f>
        <v>0</v>
      </c>
      <c r="K9" s="33"/>
      <c r="L9" s="33"/>
      <c r="M9" s="33"/>
      <c r="N9" s="33">
        <f>C31*'E Balans VL '!Y19/100/3.6*1000000</f>
        <v>137.070891374285</v>
      </c>
      <c r="O9" s="33"/>
      <c r="P9" s="33"/>
      <c r="R9" s="32"/>
    </row>
    <row r="10" spans="1:18">
      <c r="A10" s="6" t="s">
        <v>41</v>
      </c>
      <c r="B10" s="37">
        <f t="shared" si="0"/>
        <v>169.90600000000001</v>
      </c>
      <c r="C10" s="33"/>
      <c r="D10" s="37">
        <f>IF( ISERROR(IND_voed_gas_kWh/1000),0,IND_voed_gas_kWh/1000)*0.902</f>
        <v>0</v>
      </c>
      <c r="E10" s="33">
        <f>C32*'E Balans VL '!I20/100/3.6*1000000</f>
        <v>0.3594387774237317</v>
      </c>
      <c r="F10" s="33">
        <f>C32*'E Balans VL '!L20/100/3.6*1000000+C32*'E Balans VL '!N20/100/3.6*1000000</f>
        <v>10.802797033889609</v>
      </c>
      <c r="G10" s="34"/>
      <c r="H10" s="33"/>
      <c r="I10" s="33"/>
      <c r="J10" s="40">
        <f>C32*'E Balans VL '!D20/100/3.6*1000000+C32*'E Balans VL '!E20/100/3.6*1000000</f>
        <v>0</v>
      </c>
      <c r="K10" s="33"/>
      <c r="L10" s="33"/>
      <c r="M10" s="33"/>
      <c r="N10" s="33">
        <f>C32*'E Balans VL '!Y20/100/3.6*1000000</f>
        <v>11.725190673376812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606.26600000000008</v>
      </c>
      <c r="C18" s="21">
        <f>C5+C16</f>
        <v>0</v>
      </c>
      <c r="D18" s="21">
        <f>MAX((D5+D16),0)</f>
        <v>150.29755400000002</v>
      </c>
      <c r="E18" s="21">
        <f>MAX((E5+E16),0)</f>
        <v>121.82423487718752</v>
      </c>
      <c r="F18" s="21">
        <f>MAX((F5+F16),0)</f>
        <v>346.17883629924637</v>
      </c>
      <c r="G18" s="21"/>
      <c r="H18" s="21"/>
      <c r="I18" s="21"/>
      <c r="J18" s="21">
        <f>MAX((J5+J16),0)</f>
        <v>0</v>
      </c>
      <c r="K18" s="21"/>
      <c r="L18" s="21">
        <f>MAX((L5+L16),0)</f>
        <v>0</v>
      </c>
      <c r="M18" s="21"/>
      <c r="N18" s="21">
        <f>MAX((N5+N16),0)</f>
        <v>149.10304334434912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0.18011740770373053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109.1990602989099</v>
      </c>
      <c r="C22" s="23">
        <f ca="1">C18*C20</f>
        <v>0</v>
      </c>
      <c r="D22" s="23">
        <f>D18*D20</f>
        <v>30.360105908000005</v>
      </c>
      <c r="E22" s="23">
        <f>E18*E20</f>
        <v>27.654101317121569</v>
      </c>
      <c r="F22" s="23">
        <f>F18*F20</f>
        <v>92.429749291898787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21.515999999999998</v>
      </c>
      <c r="C30" s="39">
        <f>IF(ISERROR(B30*3.6/1000000/'E Balans VL '!Z18*100),0,B30*3.6/1000000/'E Balans VL '!Z18*100)</f>
        <v>1.2193668906324263E-3</v>
      </c>
      <c r="D30" s="237" t="s">
        <v>754</v>
      </c>
    </row>
    <row r="31" spans="1:18">
      <c r="A31" s="6" t="s">
        <v>33</v>
      </c>
      <c r="B31" s="37">
        <f>IF( ISERROR(IND_ander_ele_kWh/1000),0,IND_ander_ele_kWh/1000)</f>
        <v>414.84399999999999</v>
      </c>
      <c r="C31" s="39">
        <f>IF(ISERROR(B31*3.6/1000000/'E Balans VL '!Z19*100),0,B31*3.6/1000000/'E Balans VL '!Z19*100)</f>
        <v>1.8815596459648528E-2</v>
      </c>
      <c r="D31" s="237" t="s">
        <v>754</v>
      </c>
    </row>
    <row r="32" spans="1:18">
      <c r="A32" s="171" t="s">
        <v>41</v>
      </c>
      <c r="B32" s="37">
        <f>IF( ISERROR(IND_voed_ele_kWh/1000),0,IND_voed_ele_kWh/1000)</f>
        <v>169.90600000000001</v>
      </c>
      <c r="C32" s="39">
        <f>IF(ISERROR(B32*3.6/1000000/'E Balans VL '!Z20*100),0,B32*3.6/1000000/'E Balans VL '!Z20*100)</f>
        <v>5.2559638881142182E-3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2784.7918</v>
      </c>
      <c r="C5" s="17">
        <f>'Eigen informatie GS &amp; warmtenet'!B60</f>
        <v>0</v>
      </c>
      <c r="D5" s="30">
        <f>IF(ISERROR(SUM(LB_lb_gas_kWh,LB_rest_gas_kWh,onbekend_gas_kWh)/1000),0,SUM(LB_lb_gas_kWh,LB_rest_gas_kWh,onbekend_gas_kWh)/1000)*0.902</f>
        <v>0</v>
      </c>
      <c r="E5" s="17">
        <f>B17*'E Balans VL '!I25/3.6*1000000/100</f>
        <v>81.853536737902004</v>
      </c>
      <c r="F5" s="17">
        <f>B17*('E Balans VL '!L25/3.6*1000000+'E Balans VL '!N25/3.6*1000000)/100</f>
        <v>11601.292156549593</v>
      </c>
      <c r="G5" s="18"/>
      <c r="H5" s="17"/>
      <c r="I5" s="17"/>
      <c r="J5" s="17">
        <f>('E Balans VL '!D25+'E Balans VL '!E25)/3.6*1000000*landbouw!B17/100</f>
        <v>403.45652773152437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2784.7918</v>
      </c>
      <c r="C8" s="21">
        <f>C5+C6</f>
        <v>0</v>
      </c>
      <c r="D8" s="21">
        <f>MAX((D5+D6),0)</f>
        <v>0</v>
      </c>
      <c r="E8" s="21">
        <f>MAX((E5+E6),0)</f>
        <v>81.853536737902004</v>
      </c>
      <c r="F8" s="21">
        <f>MAX((F5+F6),0)</f>
        <v>11601.292156549593</v>
      </c>
      <c r="G8" s="21"/>
      <c r="H8" s="21"/>
      <c r="I8" s="21"/>
      <c r="J8" s="21">
        <f>MAX((J5+J6),0)</f>
        <v>403.45652773152437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0.18011740770373053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501.5894800106056</v>
      </c>
      <c r="C12" s="23">
        <f ca="1">C8*C10</f>
        <v>0</v>
      </c>
      <c r="D12" s="23">
        <f>D8*D10</f>
        <v>0</v>
      </c>
      <c r="E12" s="23">
        <f>E8*E10</f>
        <v>18.580752839503756</v>
      </c>
      <c r="F12" s="23">
        <f>F8*F10</f>
        <v>3097.5450057987414</v>
      </c>
      <c r="G12" s="23"/>
      <c r="H12" s="23"/>
      <c r="I12" s="23"/>
      <c r="J12" s="23">
        <f>J8*J10</f>
        <v>142.82361081695962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0.39517069343782069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197.69184339607915</v>
      </c>
      <c r="C26" s="247">
        <f>B26*'GWP N2O_CH4'!B5</f>
        <v>4151.5287113176619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37.713818376637605</v>
      </c>
      <c r="C27" s="247">
        <f>B27*'GWP N2O_CH4'!B5</f>
        <v>791.99018590938965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4.70763898895982</v>
      </c>
      <c r="C28" s="247">
        <f>B28*'GWP N2O_CH4'!B4</f>
        <v>1459.3680865775443</v>
      </c>
      <c r="D28" s="50"/>
    </row>
    <row r="29" spans="1:4">
      <c r="A29" s="41" t="s">
        <v>277</v>
      </c>
      <c r="B29" s="247">
        <f>B34*'ha_N2O bodem landbouw'!B4</f>
        <v>14.681916990430592</v>
      </c>
      <c r="C29" s="247">
        <f>B29*'GWP N2O_CH4'!B4</f>
        <v>4551.3942670334836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3.3503628610794377E-3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4.3270738090036292E-5</v>
      </c>
      <c r="C5" s="463" t="s">
        <v>211</v>
      </c>
      <c r="D5" s="448">
        <f>SUM(D6:D11)</f>
        <v>2.051388728434781E-4</v>
      </c>
      <c r="E5" s="448">
        <f>SUM(E6:E11)</f>
        <v>2.6286707192127109E-4</v>
      </c>
      <c r="F5" s="461" t="s">
        <v>211</v>
      </c>
      <c r="G5" s="448">
        <f>SUM(G6:G11)</f>
        <v>7.7604086078486373E-2</v>
      </c>
      <c r="H5" s="448">
        <f>SUM(H6:H11)</f>
        <v>2.277943791463953E-2</v>
      </c>
      <c r="I5" s="463" t="s">
        <v>211</v>
      </c>
      <c r="J5" s="463" t="s">
        <v>211</v>
      </c>
      <c r="K5" s="463" t="s">
        <v>211</v>
      </c>
      <c r="L5" s="463" t="s">
        <v>211</v>
      </c>
      <c r="M5" s="448">
        <f>SUM(M6:M11)</f>
        <v>5.2100938249933009E-3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1.0980752123618924E-5</v>
      </c>
      <c r="C6" s="449"/>
      <c r="D6" s="962">
        <f>vkm_2011_GW_PW*SUMIFS(TableVerdeelsleutelVkm[CNG],TableVerdeelsleutelVkm[Voertuigtype],"Lichte voertuigen")*SUMIFS(TableECFTransport[EnergieConsumptieFactor (PJ per km)],TableECFTransport[Index],CONCATENATE($A6,"_CNG_CNG"))</f>
        <v>3.2935953992408381E-5</v>
      </c>
      <c r="E6" s="962">
        <f>vkm_2011_GW_PW*SUMIFS(TableVerdeelsleutelVkm[LPG],TableVerdeelsleutelVkm[Voertuigtype],"Lichte voertuigen")*SUMIFS(TableECFTransport[EnergieConsumptieFactor (PJ per km)],TableECFTransport[Index],CONCATENATE($A6,"_LPG_LPG"))</f>
        <v>4.499524417026569E-5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1.163370752837938E-2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3.7454305738634686E-3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7.9085770918462125E-4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3.9705654089332923E-3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1.2099359918840032E-6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2.3202665823320498E-4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3.2289985966417365E-5</v>
      </c>
      <c r="C8" s="449"/>
      <c r="D8" s="451">
        <f>vkm_2011_NGW_PW*SUMIFS(TableVerdeelsleutelVkm[CNG],TableVerdeelsleutelVkm[Voertuigtype],"Lichte voertuigen")*SUMIFS(TableECFTransport[EnergieConsumptieFactor (PJ per km)],TableECFTransport[Index],CONCATENATE($A8,"_CNG_CNG"))</f>
        <v>1.7220291885106971E-4</v>
      </c>
      <c r="E8" s="451">
        <f>vkm_2011_NGW_PW*SUMIFS(TableVerdeelsleutelVkm[LPG],TableVerdeelsleutelVkm[Voertuigtype],"Lichte voertuigen")*SUMIFS(TableECFTransport[EnergieConsumptieFactor (PJ per km)],TableECFTransport[Index],CONCATENATE($A8,"_LPG_LPG"))</f>
        <v>2.178718277510054E-4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5.2495153507964326E-2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1.9030070769426807E-2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3.6317937434284828E-3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9.5046596332093777E-3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2.7266353573736784E-6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5.5541571414699227E-4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12.019649469454526</v>
      </c>
      <c r="C14" s="21"/>
      <c r="D14" s="21">
        <f t="shared" ref="D14:M14" si="0">((D5)*10^9/3600)+D12</f>
        <v>56.983020234299474</v>
      </c>
      <c r="E14" s="21">
        <f t="shared" si="0"/>
        <v>73.018631089241978</v>
      </c>
      <c r="F14" s="21"/>
      <c r="G14" s="21">
        <f t="shared" si="0"/>
        <v>21556.690577357323</v>
      </c>
      <c r="H14" s="21">
        <f t="shared" si="0"/>
        <v>6327.6216429554242</v>
      </c>
      <c r="I14" s="21"/>
      <c r="J14" s="21"/>
      <c r="K14" s="21"/>
      <c r="L14" s="21"/>
      <c r="M14" s="21">
        <f t="shared" si="0"/>
        <v>1447.2482847203614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0.18011740770373053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2.1649481039456693</v>
      </c>
      <c r="C18" s="23"/>
      <c r="D18" s="23">
        <f t="shared" ref="D18:M18" si="1">D14*D16</f>
        <v>11.510570087328494</v>
      </c>
      <c r="E18" s="23">
        <f t="shared" si="1"/>
        <v>16.575229257257931</v>
      </c>
      <c r="F18" s="23"/>
      <c r="G18" s="23">
        <f t="shared" si="1"/>
        <v>5755.6363841544053</v>
      </c>
      <c r="H18" s="23">
        <f t="shared" si="1"/>
        <v>1575.5777890959007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1.843364598167525E-3</v>
      </c>
      <c r="H50" s="321">
        <f t="shared" si="2"/>
        <v>0</v>
      </c>
      <c r="I50" s="321">
        <f t="shared" si="2"/>
        <v>0</v>
      </c>
      <c r="J50" s="321">
        <f t="shared" si="2"/>
        <v>0</v>
      </c>
      <c r="K50" s="321">
        <f t="shared" si="2"/>
        <v>0</v>
      </c>
      <c r="L50" s="321">
        <f t="shared" si="2"/>
        <v>0</v>
      </c>
      <c r="M50" s="321">
        <f t="shared" si="2"/>
        <v>1.046949715020922E-4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1.843364598167525E-3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1.046949715020922E-4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512.04572171320137</v>
      </c>
      <c r="H54" s="21">
        <f t="shared" si="3"/>
        <v>0</v>
      </c>
      <c r="I54" s="21">
        <f t="shared" si="3"/>
        <v>0</v>
      </c>
      <c r="J54" s="21">
        <f t="shared" si="3"/>
        <v>0</v>
      </c>
      <c r="K54" s="21">
        <f t="shared" si="3"/>
        <v>0</v>
      </c>
      <c r="L54" s="21">
        <f t="shared" si="3"/>
        <v>0</v>
      </c>
      <c r="M54" s="21">
        <f t="shared" si="3"/>
        <v>29.081936528358945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0.18011740770373053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136.71620769742478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3468.8601520108523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3468.8601520108523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4365.7932000000001</v>
      </c>
      <c r="D10" s="718">
        <f ca="1">tertiair!C16</f>
        <v>0</v>
      </c>
      <c r="E10" s="718">
        <f ca="1">tertiair!D16</f>
        <v>1909.3241948000002</v>
      </c>
      <c r="F10" s="718">
        <f>tertiair!E16</f>
        <v>77.438623409500437</v>
      </c>
      <c r="G10" s="718">
        <f ca="1">tertiair!F16</f>
        <v>715.63617368648772</v>
      </c>
      <c r="H10" s="718">
        <f>tertiair!G16</f>
        <v>0</v>
      </c>
      <c r="I10" s="718">
        <f>tertiair!H16</f>
        <v>0</v>
      </c>
      <c r="J10" s="718">
        <f>tertiair!I16</f>
        <v>0</v>
      </c>
      <c r="K10" s="718">
        <f>tertiair!J16</f>
        <v>9.2963016948353749E-3</v>
      </c>
      <c r="L10" s="718">
        <f>tertiair!K16</f>
        <v>0</v>
      </c>
      <c r="M10" s="718">
        <f ca="1">tertiair!L16</f>
        <v>0</v>
      </c>
      <c r="N10" s="718">
        <f>tertiair!M16</f>
        <v>0</v>
      </c>
      <c r="O10" s="718">
        <f ca="1">tertiair!N16</f>
        <v>374.01637614231748</v>
      </c>
      <c r="P10" s="718">
        <f>tertiair!O16</f>
        <v>3.1266666666666669</v>
      </c>
      <c r="Q10" s="719">
        <f>tertiair!P16</f>
        <v>19.066666666666666</v>
      </c>
      <c r="R10" s="721">
        <f ca="1">SUM(C10:Q10)</f>
        <v>7464.4111976733338</v>
      </c>
      <c r="S10" s="67"/>
    </row>
    <row r="11" spans="1:19" s="474" customFormat="1">
      <c r="A11" s="870" t="s">
        <v>225</v>
      </c>
      <c r="B11" s="875"/>
      <c r="C11" s="718">
        <f>huishoudens!B8</f>
        <v>10982.829048016521</v>
      </c>
      <c r="D11" s="718">
        <f>huishoudens!C8</f>
        <v>0</v>
      </c>
      <c r="E11" s="718">
        <f>huishoudens!D8</f>
        <v>7074.8279349000004</v>
      </c>
      <c r="F11" s="718">
        <f>huishoudens!E8</f>
        <v>2586.4445285482198</v>
      </c>
      <c r="G11" s="718">
        <f>huishoudens!F8</f>
        <v>39774.763595990989</v>
      </c>
      <c r="H11" s="718">
        <f>huishoudens!G8</f>
        <v>0</v>
      </c>
      <c r="I11" s="718">
        <f>huishoudens!H8</f>
        <v>0</v>
      </c>
      <c r="J11" s="718">
        <f>huishoudens!I8</f>
        <v>0</v>
      </c>
      <c r="K11" s="718">
        <f>huishoudens!J8</f>
        <v>1396.3089479146765</v>
      </c>
      <c r="L11" s="718">
        <f>huishoudens!K8</f>
        <v>0</v>
      </c>
      <c r="M11" s="718">
        <f>huishoudens!L8</f>
        <v>0</v>
      </c>
      <c r="N11" s="718">
        <f>huishoudens!M8</f>
        <v>0</v>
      </c>
      <c r="O11" s="718">
        <f>huishoudens!N8</f>
        <v>4339.4277139526939</v>
      </c>
      <c r="P11" s="718">
        <f>huishoudens!O8</f>
        <v>176.65666666666667</v>
      </c>
      <c r="Q11" s="719">
        <f>huishoudens!P8</f>
        <v>1258.4000000000001</v>
      </c>
      <c r="R11" s="721">
        <f>SUM(C11:Q11)</f>
        <v>67589.658435989768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606.26600000000008</v>
      </c>
      <c r="D13" s="718">
        <f>industrie!C18</f>
        <v>0</v>
      </c>
      <c r="E13" s="718">
        <f>industrie!D18</f>
        <v>150.29755400000002</v>
      </c>
      <c r="F13" s="718">
        <f>industrie!E18</f>
        <v>121.82423487718752</v>
      </c>
      <c r="G13" s="718">
        <f>industrie!F18</f>
        <v>346.17883629924637</v>
      </c>
      <c r="H13" s="718">
        <f>industrie!G18</f>
        <v>0</v>
      </c>
      <c r="I13" s="718">
        <f>industrie!H18</f>
        <v>0</v>
      </c>
      <c r="J13" s="718">
        <f>industrie!I18</f>
        <v>0</v>
      </c>
      <c r="K13" s="718">
        <f>industrie!J18</f>
        <v>0</v>
      </c>
      <c r="L13" s="718">
        <f>industrie!K18</f>
        <v>0</v>
      </c>
      <c r="M13" s="718">
        <f>industrie!L18</f>
        <v>0</v>
      </c>
      <c r="N13" s="718">
        <f>industrie!M18</f>
        <v>0</v>
      </c>
      <c r="O13" s="718">
        <f>industrie!N18</f>
        <v>149.10304334434912</v>
      </c>
      <c r="P13" s="718">
        <f>industrie!O18</f>
        <v>0</v>
      </c>
      <c r="Q13" s="719">
        <f>industrie!P18</f>
        <v>0</v>
      </c>
      <c r="R13" s="721">
        <f>SUM(C13:Q13)</f>
        <v>1373.669668520783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15954.888248016521</v>
      </c>
      <c r="D15" s="723">
        <f t="shared" ref="D15:Q15" ca="1" si="0">SUM(D9:D14)</f>
        <v>0</v>
      </c>
      <c r="E15" s="723">
        <f t="shared" ca="1" si="0"/>
        <v>9134.4496837000006</v>
      </c>
      <c r="F15" s="723">
        <f t="shared" si="0"/>
        <v>2785.7073868349075</v>
      </c>
      <c r="G15" s="723">
        <f t="shared" ca="1" si="0"/>
        <v>40836.57860597672</v>
      </c>
      <c r="H15" s="723">
        <f t="shared" si="0"/>
        <v>0</v>
      </c>
      <c r="I15" s="723">
        <f t="shared" si="0"/>
        <v>0</v>
      </c>
      <c r="J15" s="723">
        <f t="shared" si="0"/>
        <v>0</v>
      </c>
      <c r="K15" s="723">
        <f t="shared" si="0"/>
        <v>1396.3182442163713</v>
      </c>
      <c r="L15" s="723">
        <f t="shared" si="0"/>
        <v>0</v>
      </c>
      <c r="M15" s="723">
        <f t="shared" ca="1" si="0"/>
        <v>0</v>
      </c>
      <c r="N15" s="723">
        <f t="shared" si="0"/>
        <v>0</v>
      </c>
      <c r="O15" s="723">
        <f t="shared" ca="1" si="0"/>
        <v>4862.5471334393606</v>
      </c>
      <c r="P15" s="723">
        <f t="shared" si="0"/>
        <v>179.78333333333333</v>
      </c>
      <c r="Q15" s="724">
        <f t="shared" si="0"/>
        <v>1277.4666666666667</v>
      </c>
      <c r="R15" s="725">
        <f ca="1">SUM(R9:R14)</f>
        <v>76427.739302183894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512.04572171320137</v>
      </c>
      <c r="I18" s="718">
        <f>transport!H54</f>
        <v>0</v>
      </c>
      <c r="J18" s="718">
        <f>transport!I54</f>
        <v>0</v>
      </c>
      <c r="K18" s="718">
        <f>transport!J54</f>
        <v>0</v>
      </c>
      <c r="L18" s="718">
        <f>transport!K54</f>
        <v>0</v>
      </c>
      <c r="M18" s="718">
        <f>transport!L54</f>
        <v>0</v>
      </c>
      <c r="N18" s="718">
        <f>transport!M54</f>
        <v>29.081936528358945</v>
      </c>
      <c r="O18" s="718">
        <f>transport!N54</f>
        <v>0</v>
      </c>
      <c r="P18" s="718">
        <f>transport!O54</f>
        <v>0</v>
      </c>
      <c r="Q18" s="719">
        <f>transport!P54</f>
        <v>0</v>
      </c>
      <c r="R18" s="721">
        <f>SUM(C18:Q18)</f>
        <v>541.12765824156031</v>
      </c>
      <c r="S18" s="67"/>
    </row>
    <row r="19" spans="1:19" s="474" customFormat="1" ht="15" thickBot="1">
      <c r="A19" s="870" t="s">
        <v>307</v>
      </c>
      <c r="B19" s="875"/>
      <c r="C19" s="727">
        <f>transport!B14</f>
        <v>12.019649469454526</v>
      </c>
      <c r="D19" s="727">
        <f>transport!C14</f>
        <v>0</v>
      </c>
      <c r="E19" s="727">
        <f>transport!D14</f>
        <v>56.983020234299474</v>
      </c>
      <c r="F19" s="727">
        <f>transport!E14</f>
        <v>73.018631089241978</v>
      </c>
      <c r="G19" s="727">
        <f>transport!F14</f>
        <v>0</v>
      </c>
      <c r="H19" s="727">
        <f>transport!G14</f>
        <v>21556.690577357323</v>
      </c>
      <c r="I19" s="727">
        <f>transport!H14</f>
        <v>6327.6216429554242</v>
      </c>
      <c r="J19" s="727">
        <f>transport!I14</f>
        <v>0</v>
      </c>
      <c r="K19" s="727">
        <f>transport!J14</f>
        <v>0</v>
      </c>
      <c r="L19" s="727">
        <f>transport!K14</f>
        <v>0</v>
      </c>
      <c r="M19" s="727">
        <f>transport!L14</f>
        <v>0</v>
      </c>
      <c r="N19" s="727">
        <f>transport!M14</f>
        <v>1447.2482847203614</v>
      </c>
      <c r="O19" s="727">
        <f>transport!N14</f>
        <v>0</v>
      </c>
      <c r="P19" s="727">
        <f>transport!O14</f>
        <v>0</v>
      </c>
      <c r="Q19" s="728">
        <f>transport!P14</f>
        <v>0</v>
      </c>
      <c r="R19" s="729">
        <f>SUM(C19:Q19)</f>
        <v>29473.581805826103</v>
      </c>
      <c r="S19" s="67"/>
    </row>
    <row r="20" spans="1:19" s="474" customFormat="1" ht="15.75" thickBot="1">
      <c r="A20" s="730" t="s">
        <v>230</v>
      </c>
      <c r="B20" s="878"/>
      <c r="C20" s="873">
        <f>SUM(C17:C19)</f>
        <v>12.019649469454526</v>
      </c>
      <c r="D20" s="731">
        <f t="shared" ref="D20:R20" si="1">SUM(D17:D19)</f>
        <v>0</v>
      </c>
      <c r="E20" s="731">
        <f t="shared" si="1"/>
        <v>56.983020234299474</v>
      </c>
      <c r="F20" s="731">
        <f t="shared" si="1"/>
        <v>73.018631089241978</v>
      </c>
      <c r="G20" s="731">
        <f t="shared" si="1"/>
        <v>0</v>
      </c>
      <c r="H20" s="731">
        <f t="shared" si="1"/>
        <v>22068.736299070526</v>
      </c>
      <c r="I20" s="731">
        <f t="shared" si="1"/>
        <v>6327.6216429554242</v>
      </c>
      <c r="J20" s="731">
        <f t="shared" si="1"/>
        <v>0</v>
      </c>
      <c r="K20" s="731">
        <f t="shared" si="1"/>
        <v>0</v>
      </c>
      <c r="L20" s="731">
        <f t="shared" si="1"/>
        <v>0</v>
      </c>
      <c r="M20" s="731">
        <f t="shared" si="1"/>
        <v>0</v>
      </c>
      <c r="N20" s="731">
        <f t="shared" si="1"/>
        <v>1476.3302212487204</v>
      </c>
      <c r="O20" s="731">
        <f t="shared" si="1"/>
        <v>0</v>
      </c>
      <c r="P20" s="731">
        <f t="shared" si="1"/>
        <v>0</v>
      </c>
      <c r="Q20" s="732">
        <f t="shared" si="1"/>
        <v>0</v>
      </c>
      <c r="R20" s="733">
        <f t="shared" si="1"/>
        <v>30014.709464067662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2784.7918</v>
      </c>
      <c r="D22" s="727">
        <f>+landbouw!C8</f>
        <v>0</v>
      </c>
      <c r="E22" s="727">
        <f>+landbouw!D8</f>
        <v>0</v>
      </c>
      <c r="F22" s="727">
        <f>+landbouw!E8</f>
        <v>81.853536737902004</v>
      </c>
      <c r="G22" s="727">
        <f>+landbouw!F8</f>
        <v>11601.292156549593</v>
      </c>
      <c r="H22" s="727">
        <f>+landbouw!G8</f>
        <v>0</v>
      </c>
      <c r="I22" s="727">
        <f>+landbouw!H8</f>
        <v>0</v>
      </c>
      <c r="J22" s="727">
        <f>+landbouw!I8</f>
        <v>0</v>
      </c>
      <c r="K22" s="727">
        <f>+landbouw!J8</f>
        <v>403.45652773152437</v>
      </c>
      <c r="L22" s="727">
        <f>+landbouw!K8</f>
        <v>0</v>
      </c>
      <c r="M22" s="727">
        <f>+landbouw!L8</f>
        <v>0</v>
      </c>
      <c r="N22" s="727">
        <f>+landbouw!M8</f>
        <v>0</v>
      </c>
      <c r="O22" s="727">
        <f>+landbouw!N8</f>
        <v>0</v>
      </c>
      <c r="P22" s="727">
        <f>+landbouw!O8</f>
        <v>0</v>
      </c>
      <c r="Q22" s="728">
        <f>+landbouw!P8</f>
        <v>0</v>
      </c>
      <c r="R22" s="729">
        <f>SUM(C22:Q22)</f>
        <v>14871.394021019019</v>
      </c>
      <c r="S22" s="67"/>
    </row>
    <row r="23" spans="1:19" s="474" customFormat="1" ht="17.25" thickTop="1" thickBot="1">
      <c r="A23" s="734" t="s">
        <v>116</v>
      </c>
      <c r="B23" s="864"/>
      <c r="C23" s="735">
        <f ca="1">C20+C15+C22</f>
        <v>18751.699697485976</v>
      </c>
      <c r="D23" s="735">
        <f t="shared" ref="D23:Q23" ca="1" si="2">D20+D15+D22</f>
        <v>0</v>
      </c>
      <c r="E23" s="735">
        <f t="shared" ca="1" si="2"/>
        <v>9191.4327039343007</v>
      </c>
      <c r="F23" s="735">
        <f t="shared" si="2"/>
        <v>2940.5795546620511</v>
      </c>
      <c r="G23" s="735">
        <f t="shared" ca="1" si="2"/>
        <v>52437.870762526312</v>
      </c>
      <c r="H23" s="735">
        <f t="shared" si="2"/>
        <v>22068.736299070526</v>
      </c>
      <c r="I23" s="735">
        <f t="shared" si="2"/>
        <v>6327.6216429554242</v>
      </c>
      <c r="J23" s="735">
        <f t="shared" si="2"/>
        <v>0</v>
      </c>
      <c r="K23" s="735">
        <f t="shared" si="2"/>
        <v>1799.7747719478957</v>
      </c>
      <c r="L23" s="735">
        <f t="shared" si="2"/>
        <v>0</v>
      </c>
      <c r="M23" s="735">
        <f t="shared" ca="1" si="2"/>
        <v>0</v>
      </c>
      <c r="N23" s="735">
        <f t="shared" si="2"/>
        <v>1476.3302212487204</v>
      </c>
      <c r="O23" s="735">
        <f t="shared" ca="1" si="2"/>
        <v>4862.5471334393606</v>
      </c>
      <c r="P23" s="735">
        <f t="shared" si="2"/>
        <v>179.78333333333333</v>
      </c>
      <c r="Q23" s="736">
        <f t="shared" si="2"/>
        <v>1277.4666666666667</v>
      </c>
      <c r="R23" s="737">
        <f ca="1">R20+R15+R22</f>
        <v>121313.84278727058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786.35535375457437</v>
      </c>
      <c r="D36" s="718">
        <f ca="1">tertiair!C20</f>
        <v>0</v>
      </c>
      <c r="E36" s="718">
        <f ca="1">tertiair!D20</f>
        <v>385.68348734960006</v>
      </c>
      <c r="F36" s="718">
        <f>tertiair!E20</f>
        <v>17.5785675139566</v>
      </c>
      <c r="G36" s="718">
        <f ca="1">tertiair!F20</f>
        <v>191.07485837429223</v>
      </c>
      <c r="H36" s="718">
        <f>tertiair!G20</f>
        <v>0</v>
      </c>
      <c r="I36" s="718">
        <f>tertiair!H20</f>
        <v>0</v>
      </c>
      <c r="J36" s="718">
        <f>tertiair!I20</f>
        <v>0</v>
      </c>
      <c r="K36" s="718">
        <f>tertiair!J20</f>
        <v>3.2908907999717224E-3</v>
      </c>
      <c r="L36" s="718">
        <f>tertiair!K20</f>
        <v>0</v>
      </c>
      <c r="M36" s="718">
        <f ca="1">tertiair!L20</f>
        <v>0</v>
      </c>
      <c r="N36" s="718">
        <f>tertiair!M20</f>
        <v>0</v>
      </c>
      <c r="O36" s="718">
        <f ca="1">tertiair!N20</f>
        <v>0</v>
      </c>
      <c r="P36" s="718">
        <f>tertiair!O20</f>
        <v>0</v>
      </c>
      <c r="Q36" s="828">
        <f>tertiair!P20</f>
        <v>0</v>
      </c>
      <c r="R36" s="917">
        <f ca="1">SUM(C36:Q36)</f>
        <v>1380.6955578832233</v>
      </c>
    </row>
    <row r="37" spans="1:18">
      <c r="A37" s="885" t="s">
        <v>225</v>
      </c>
      <c r="B37" s="892"/>
      <c r="C37" s="718">
        <f ca="1">huishoudens!B12</f>
        <v>1978.1986973819664</v>
      </c>
      <c r="D37" s="718">
        <f ca="1">huishoudens!C12</f>
        <v>0</v>
      </c>
      <c r="E37" s="718">
        <f>huishoudens!D12</f>
        <v>1429.1152428498001</v>
      </c>
      <c r="F37" s="718">
        <f>huishoudens!E12</f>
        <v>587.12290798044592</v>
      </c>
      <c r="G37" s="718">
        <f>huishoudens!F12</f>
        <v>10619.861880129594</v>
      </c>
      <c r="H37" s="718">
        <f>huishoudens!G12</f>
        <v>0</v>
      </c>
      <c r="I37" s="718">
        <f>huishoudens!H12</f>
        <v>0</v>
      </c>
      <c r="J37" s="718">
        <f>huishoudens!I12</f>
        <v>0</v>
      </c>
      <c r="K37" s="718">
        <f>huishoudens!J12</f>
        <v>494.29336756179549</v>
      </c>
      <c r="L37" s="718">
        <f>huishoudens!K12</f>
        <v>0</v>
      </c>
      <c r="M37" s="718">
        <f>huishoudens!L12</f>
        <v>0</v>
      </c>
      <c r="N37" s="718">
        <f>huishoudens!M12</f>
        <v>0</v>
      </c>
      <c r="O37" s="718">
        <f>huishoudens!N12</f>
        <v>0</v>
      </c>
      <c r="P37" s="718">
        <f>huishoudens!O12</f>
        <v>0</v>
      </c>
      <c r="Q37" s="828">
        <f>huishoudens!P12</f>
        <v>0</v>
      </c>
      <c r="R37" s="917">
        <f ca="1">SUM(C37:Q37)</f>
        <v>15108.592095903603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109.1990602989099</v>
      </c>
      <c r="D39" s="718">
        <f ca="1">industrie!C22</f>
        <v>0</v>
      </c>
      <c r="E39" s="718">
        <f>industrie!D22</f>
        <v>30.360105908000005</v>
      </c>
      <c r="F39" s="718">
        <f>industrie!E22</f>
        <v>27.654101317121569</v>
      </c>
      <c r="G39" s="718">
        <f>industrie!F22</f>
        <v>92.429749291898787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259.64301681593025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2873.7531114354506</v>
      </c>
      <c r="D41" s="763">
        <f t="shared" ref="D41:R41" ca="1" si="4">SUM(D35:D40)</f>
        <v>0</v>
      </c>
      <c r="E41" s="763">
        <f t="shared" ca="1" si="4"/>
        <v>1845.1588361074</v>
      </c>
      <c r="F41" s="763">
        <f t="shared" si="4"/>
        <v>632.35557681152409</v>
      </c>
      <c r="G41" s="763">
        <f t="shared" ca="1" si="4"/>
        <v>10903.366487795785</v>
      </c>
      <c r="H41" s="763">
        <f t="shared" si="4"/>
        <v>0</v>
      </c>
      <c r="I41" s="763">
        <f t="shared" si="4"/>
        <v>0</v>
      </c>
      <c r="J41" s="763">
        <f t="shared" si="4"/>
        <v>0</v>
      </c>
      <c r="K41" s="763">
        <f t="shared" si="4"/>
        <v>494.29665845259547</v>
      </c>
      <c r="L41" s="763">
        <f t="shared" si="4"/>
        <v>0</v>
      </c>
      <c r="M41" s="763">
        <f t="shared" ca="1" si="4"/>
        <v>0</v>
      </c>
      <c r="N41" s="763">
        <f t="shared" si="4"/>
        <v>0</v>
      </c>
      <c r="O41" s="763">
        <f t="shared" ca="1" si="4"/>
        <v>0</v>
      </c>
      <c r="P41" s="763">
        <f t="shared" si="4"/>
        <v>0</v>
      </c>
      <c r="Q41" s="764">
        <f t="shared" si="4"/>
        <v>0</v>
      </c>
      <c r="R41" s="765">
        <f t="shared" ca="1" si="4"/>
        <v>16748.930670602756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136.71620769742478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136.71620769742478</v>
      </c>
    </row>
    <row r="45" spans="1:18" ht="15" thickBot="1">
      <c r="A45" s="888" t="s">
        <v>307</v>
      </c>
      <c r="B45" s="898"/>
      <c r="C45" s="727">
        <f ca="1">transport!B18</f>
        <v>2.1649481039456693</v>
      </c>
      <c r="D45" s="727">
        <f>transport!C18</f>
        <v>0</v>
      </c>
      <c r="E45" s="727">
        <f>transport!D18</f>
        <v>11.510570087328494</v>
      </c>
      <c r="F45" s="727">
        <f>transport!E18</f>
        <v>16.575229257257931</v>
      </c>
      <c r="G45" s="727">
        <f>transport!F18</f>
        <v>0</v>
      </c>
      <c r="H45" s="727">
        <f>transport!G18</f>
        <v>5755.6363841544053</v>
      </c>
      <c r="I45" s="727">
        <f>transport!H18</f>
        <v>1575.5777890959007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7361.4649206988379</v>
      </c>
    </row>
    <row r="46" spans="1:18" ht="15.75" thickBot="1">
      <c r="A46" s="886" t="s">
        <v>230</v>
      </c>
      <c r="B46" s="899"/>
      <c r="C46" s="763">
        <f t="shared" ref="C46:R46" ca="1" si="5">SUM(C43:C45)</f>
        <v>2.1649481039456693</v>
      </c>
      <c r="D46" s="763">
        <f t="shared" ca="1" si="5"/>
        <v>0</v>
      </c>
      <c r="E46" s="763">
        <f t="shared" si="5"/>
        <v>11.510570087328494</v>
      </c>
      <c r="F46" s="763">
        <f t="shared" si="5"/>
        <v>16.575229257257931</v>
      </c>
      <c r="G46" s="763">
        <f t="shared" si="5"/>
        <v>0</v>
      </c>
      <c r="H46" s="763">
        <f t="shared" si="5"/>
        <v>5892.3525918518299</v>
      </c>
      <c r="I46" s="763">
        <f t="shared" si="5"/>
        <v>1575.5777890959007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7498.1811283962625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501.5894800106056</v>
      </c>
      <c r="D48" s="718">
        <f ca="1">+landbouw!C12</f>
        <v>0</v>
      </c>
      <c r="E48" s="718">
        <f>+landbouw!D12</f>
        <v>0</v>
      </c>
      <c r="F48" s="718">
        <f>+landbouw!E12</f>
        <v>18.580752839503756</v>
      </c>
      <c r="G48" s="718">
        <f>+landbouw!F12</f>
        <v>3097.5450057987414</v>
      </c>
      <c r="H48" s="718">
        <f>+landbouw!G12</f>
        <v>0</v>
      </c>
      <c r="I48" s="718">
        <f>+landbouw!H12</f>
        <v>0</v>
      </c>
      <c r="J48" s="718">
        <f>+landbouw!I12</f>
        <v>0</v>
      </c>
      <c r="K48" s="718">
        <f>+landbouw!J12</f>
        <v>142.82361081695962</v>
      </c>
      <c r="L48" s="718">
        <f>+landbouw!K12</f>
        <v>0</v>
      </c>
      <c r="M48" s="718">
        <f>+landbouw!L12</f>
        <v>0</v>
      </c>
      <c r="N48" s="718">
        <f>+landbouw!M12</f>
        <v>0</v>
      </c>
      <c r="O48" s="718">
        <f>+landbouw!N12</f>
        <v>0</v>
      </c>
      <c r="P48" s="718">
        <f>+landbouw!O12</f>
        <v>0</v>
      </c>
      <c r="Q48" s="719">
        <f>+landbouw!P12</f>
        <v>0</v>
      </c>
      <c r="R48" s="761">
        <f ca="1">SUM(C48:Q48)</f>
        <v>3760.53884946581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3377.5075395500021</v>
      </c>
      <c r="D53" s="773">
        <f t="shared" ref="D53:Q53" ca="1" si="6">D41+D46+D48</f>
        <v>0</v>
      </c>
      <c r="E53" s="773">
        <f t="shared" ca="1" si="6"/>
        <v>1856.6694061947285</v>
      </c>
      <c r="F53" s="773">
        <f t="shared" si="6"/>
        <v>667.51155890828568</v>
      </c>
      <c r="G53" s="773">
        <f t="shared" ca="1" si="6"/>
        <v>14000.911493594527</v>
      </c>
      <c r="H53" s="773">
        <f t="shared" si="6"/>
        <v>5892.3525918518299</v>
      </c>
      <c r="I53" s="773">
        <f t="shared" si="6"/>
        <v>1575.5777890959007</v>
      </c>
      <c r="J53" s="773">
        <f t="shared" si="6"/>
        <v>0</v>
      </c>
      <c r="K53" s="773">
        <f t="shared" si="6"/>
        <v>637.12026926955514</v>
      </c>
      <c r="L53" s="773">
        <f t="shared" si="6"/>
        <v>0</v>
      </c>
      <c r="M53" s="773">
        <f t="shared" ca="1" si="6"/>
        <v>0</v>
      </c>
      <c r="N53" s="773">
        <f t="shared" si="6"/>
        <v>0</v>
      </c>
      <c r="O53" s="773">
        <f t="shared" ca="1" si="6"/>
        <v>0</v>
      </c>
      <c r="P53" s="773">
        <f>P41+P46+P48</f>
        <v>0</v>
      </c>
      <c r="Q53" s="774">
        <f t="shared" si="6"/>
        <v>0</v>
      </c>
      <c r="R53" s="775">
        <f ca="1">R41+R46+R48</f>
        <v>28007.650648464831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0.18011740770373053</v>
      </c>
      <c r="D55" s="836">
        <f t="shared" ca="1" si="7"/>
        <v>0</v>
      </c>
      <c r="E55" s="836">
        <f t="shared" ca="1" si="7"/>
        <v>0.20199999999999999</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3468.8601520108523</v>
      </c>
      <c r="C66" s="795">
        <f>'lokale energieproductie'!B6</f>
        <v>3468.8601520108523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3468.8601520108523</v>
      </c>
      <c r="C69" s="803">
        <f>SUM(C64:C68)</f>
        <v>3468.8601520108523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10982.829048016521</v>
      </c>
      <c r="C4" s="478">
        <f>huishoudens!C8</f>
        <v>0</v>
      </c>
      <c r="D4" s="478">
        <f>huishoudens!D8</f>
        <v>7074.8279349000004</v>
      </c>
      <c r="E4" s="478">
        <f>huishoudens!E8</f>
        <v>2586.4445285482198</v>
      </c>
      <c r="F4" s="478">
        <f>huishoudens!F8</f>
        <v>39774.763595990989</v>
      </c>
      <c r="G4" s="478">
        <f>huishoudens!G8</f>
        <v>0</v>
      </c>
      <c r="H4" s="478">
        <f>huishoudens!H8</f>
        <v>0</v>
      </c>
      <c r="I4" s="478">
        <f>huishoudens!I8</f>
        <v>0</v>
      </c>
      <c r="J4" s="478">
        <f>huishoudens!J8</f>
        <v>1396.3089479146765</v>
      </c>
      <c r="K4" s="478">
        <f>huishoudens!K8</f>
        <v>0</v>
      </c>
      <c r="L4" s="478">
        <f>huishoudens!L8</f>
        <v>0</v>
      </c>
      <c r="M4" s="478">
        <f>huishoudens!M8</f>
        <v>0</v>
      </c>
      <c r="N4" s="478">
        <f>huishoudens!N8</f>
        <v>4339.4277139526939</v>
      </c>
      <c r="O4" s="478">
        <f>huishoudens!O8</f>
        <v>176.65666666666667</v>
      </c>
      <c r="P4" s="479">
        <f>huishoudens!P8</f>
        <v>1258.4000000000001</v>
      </c>
      <c r="Q4" s="480">
        <f>SUM(B4:P4)</f>
        <v>67589.658435989768</v>
      </c>
    </row>
    <row r="5" spans="1:17">
      <c r="A5" s="477" t="s">
        <v>156</v>
      </c>
      <c r="B5" s="478">
        <f ca="1">tertiair!B16</f>
        <v>3989.9151999999999</v>
      </c>
      <c r="C5" s="478">
        <f ca="1">tertiair!C16</f>
        <v>0</v>
      </c>
      <c r="D5" s="478">
        <f ca="1">tertiair!D16</f>
        <v>1909.3241948000002</v>
      </c>
      <c r="E5" s="478">
        <f>tertiair!E16</f>
        <v>77.438623409500437</v>
      </c>
      <c r="F5" s="478">
        <f ca="1">tertiair!F16</f>
        <v>715.63617368648772</v>
      </c>
      <c r="G5" s="478">
        <f>tertiair!G16</f>
        <v>0</v>
      </c>
      <c r="H5" s="478">
        <f>tertiair!H16</f>
        <v>0</v>
      </c>
      <c r="I5" s="478">
        <f>tertiair!I16</f>
        <v>0</v>
      </c>
      <c r="J5" s="478">
        <f>tertiair!J16</f>
        <v>9.2963016948353749E-3</v>
      </c>
      <c r="K5" s="478">
        <f>tertiair!K16</f>
        <v>0</v>
      </c>
      <c r="L5" s="478">
        <f ca="1">tertiair!L16</f>
        <v>0</v>
      </c>
      <c r="M5" s="478">
        <f>tertiair!M16</f>
        <v>0</v>
      </c>
      <c r="N5" s="478">
        <f ca="1">tertiair!N16</f>
        <v>374.01637614231748</v>
      </c>
      <c r="O5" s="478">
        <f>tertiair!O16</f>
        <v>3.1266666666666669</v>
      </c>
      <c r="P5" s="479">
        <f>tertiair!P16</f>
        <v>19.066666666666666</v>
      </c>
      <c r="Q5" s="477">
        <f t="shared" ref="Q5:Q13" ca="1" si="0">SUM(B5:P5)</f>
        <v>7088.5331976733332</v>
      </c>
    </row>
    <row r="6" spans="1:17">
      <c r="A6" s="477" t="s">
        <v>194</v>
      </c>
      <c r="B6" s="478">
        <f>'openbare verlichting'!B8</f>
        <v>375.87799999999999</v>
      </c>
      <c r="C6" s="478"/>
      <c r="D6" s="478"/>
      <c r="E6" s="478"/>
      <c r="F6" s="478"/>
      <c r="G6" s="478"/>
      <c r="H6" s="478"/>
      <c r="I6" s="478"/>
      <c r="J6" s="478"/>
      <c r="K6" s="478"/>
      <c r="L6" s="478"/>
      <c r="M6" s="478"/>
      <c r="N6" s="478"/>
      <c r="O6" s="478"/>
      <c r="P6" s="479"/>
      <c r="Q6" s="477">
        <f t="shared" si="0"/>
        <v>375.87799999999999</v>
      </c>
    </row>
    <row r="7" spans="1:17">
      <c r="A7" s="477" t="s">
        <v>112</v>
      </c>
      <c r="B7" s="478">
        <f>landbouw!B8</f>
        <v>2784.7918</v>
      </c>
      <c r="C7" s="478">
        <f>landbouw!C8</f>
        <v>0</v>
      </c>
      <c r="D7" s="478">
        <f>landbouw!D8</f>
        <v>0</v>
      </c>
      <c r="E7" s="478">
        <f>landbouw!E8</f>
        <v>81.853536737902004</v>
      </c>
      <c r="F7" s="478">
        <f>landbouw!F8</f>
        <v>11601.292156549593</v>
      </c>
      <c r="G7" s="478">
        <f>landbouw!G8</f>
        <v>0</v>
      </c>
      <c r="H7" s="478">
        <f>landbouw!H8</f>
        <v>0</v>
      </c>
      <c r="I7" s="478">
        <f>landbouw!I8</f>
        <v>0</v>
      </c>
      <c r="J7" s="478">
        <f>landbouw!J8</f>
        <v>403.45652773152437</v>
      </c>
      <c r="K7" s="478">
        <f>landbouw!K8</f>
        <v>0</v>
      </c>
      <c r="L7" s="478">
        <f>landbouw!L8</f>
        <v>0</v>
      </c>
      <c r="M7" s="478">
        <f>landbouw!M8</f>
        <v>0</v>
      </c>
      <c r="N7" s="478">
        <f>landbouw!N8</f>
        <v>0</v>
      </c>
      <c r="O7" s="478">
        <f>landbouw!O8</f>
        <v>0</v>
      </c>
      <c r="P7" s="479">
        <f>landbouw!P8</f>
        <v>0</v>
      </c>
      <c r="Q7" s="477">
        <f t="shared" si="0"/>
        <v>14871.394021019019</v>
      </c>
    </row>
    <row r="8" spans="1:17">
      <c r="A8" s="477" t="s">
        <v>635</v>
      </c>
      <c r="B8" s="478">
        <f>industrie!B18</f>
        <v>606.26600000000008</v>
      </c>
      <c r="C8" s="478">
        <f>industrie!C18</f>
        <v>0</v>
      </c>
      <c r="D8" s="478">
        <f>industrie!D18</f>
        <v>150.29755400000002</v>
      </c>
      <c r="E8" s="478">
        <f>industrie!E18</f>
        <v>121.82423487718752</v>
      </c>
      <c r="F8" s="478">
        <f>industrie!F18</f>
        <v>346.17883629924637</v>
      </c>
      <c r="G8" s="478">
        <f>industrie!G18</f>
        <v>0</v>
      </c>
      <c r="H8" s="478">
        <f>industrie!H18</f>
        <v>0</v>
      </c>
      <c r="I8" s="478">
        <f>industrie!I18</f>
        <v>0</v>
      </c>
      <c r="J8" s="478">
        <f>industrie!J18</f>
        <v>0</v>
      </c>
      <c r="K8" s="478">
        <f>industrie!K18</f>
        <v>0</v>
      </c>
      <c r="L8" s="478">
        <f>industrie!L18</f>
        <v>0</v>
      </c>
      <c r="M8" s="478">
        <f>industrie!M18</f>
        <v>0</v>
      </c>
      <c r="N8" s="478">
        <f>industrie!N18</f>
        <v>149.10304334434912</v>
      </c>
      <c r="O8" s="478">
        <f>industrie!O18</f>
        <v>0</v>
      </c>
      <c r="P8" s="479">
        <f>industrie!P18</f>
        <v>0</v>
      </c>
      <c r="Q8" s="477">
        <f t="shared" si="0"/>
        <v>1373.669668520783</v>
      </c>
    </row>
    <row r="9" spans="1:17" s="483" customFormat="1">
      <c r="A9" s="481" t="s">
        <v>561</v>
      </c>
      <c r="B9" s="482">
        <f>transport!B14</f>
        <v>12.019649469454526</v>
      </c>
      <c r="C9" s="482">
        <f>transport!C14</f>
        <v>0</v>
      </c>
      <c r="D9" s="482">
        <f>transport!D14</f>
        <v>56.983020234299474</v>
      </c>
      <c r="E9" s="482">
        <f>transport!E14</f>
        <v>73.018631089241978</v>
      </c>
      <c r="F9" s="482">
        <f>transport!F14</f>
        <v>0</v>
      </c>
      <c r="G9" s="482">
        <f>transport!G14</f>
        <v>21556.690577357323</v>
      </c>
      <c r="H9" s="482">
        <f>transport!H14</f>
        <v>6327.6216429554242</v>
      </c>
      <c r="I9" s="482">
        <f>transport!I14</f>
        <v>0</v>
      </c>
      <c r="J9" s="482">
        <f>transport!J14</f>
        <v>0</v>
      </c>
      <c r="K9" s="482">
        <f>transport!K14</f>
        <v>0</v>
      </c>
      <c r="L9" s="482">
        <f>transport!L14</f>
        <v>0</v>
      </c>
      <c r="M9" s="482">
        <f>transport!M14</f>
        <v>1447.2482847203614</v>
      </c>
      <c r="N9" s="482">
        <f>transport!N14</f>
        <v>0</v>
      </c>
      <c r="O9" s="482">
        <f>transport!O14</f>
        <v>0</v>
      </c>
      <c r="P9" s="482">
        <f>transport!P14</f>
        <v>0</v>
      </c>
      <c r="Q9" s="481">
        <f>SUM(B9:P9)</f>
        <v>29473.581805826103</v>
      </c>
    </row>
    <row r="10" spans="1:17">
      <c r="A10" s="477" t="s">
        <v>551</v>
      </c>
      <c r="B10" s="478">
        <f>transport!B54</f>
        <v>0</v>
      </c>
      <c r="C10" s="478">
        <f>transport!C54</f>
        <v>0</v>
      </c>
      <c r="D10" s="478">
        <f>transport!D54</f>
        <v>0</v>
      </c>
      <c r="E10" s="478">
        <f>transport!E54</f>
        <v>0</v>
      </c>
      <c r="F10" s="478">
        <f>transport!F54</f>
        <v>0</v>
      </c>
      <c r="G10" s="478">
        <f>transport!G54</f>
        <v>512.04572171320137</v>
      </c>
      <c r="H10" s="478">
        <f>transport!H54</f>
        <v>0</v>
      </c>
      <c r="I10" s="478">
        <f>transport!I54</f>
        <v>0</v>
      </c>
      <c r="J10" s="478">
        <f>transport!J54</f>
        <v>0</v>
      </c>
      <c r="K10" s="478">
        <f>transport!K54</f>
        <v>0</v>
      </c>
      <c r="L10" s="478">
        <f>transport!L54</f>
        <v>0</v>
      </c>
      <c r="M10" s="478">
        <f>transport!M54</f>
        <v>29.081936528358945</v>
      </c>
      <c r="N10" s="478">
        <f>transport!N54</f>
        <v>0</v>
      </c>
      <c r="O10" s="478">
        <f>transport!O54</f>
        <v>0</v>
      </c>
      <c r="P10" s="479">
        <f>transport!P54</f>
        <v>0</v>
      </c>
      <c r="Q10" s="477">
        <f t="shared" si="0"/>
        <v>541.12765824156031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18751.699697485976</v>
      </c>
      <c r="C14" s="488">
        <f t="shared" ref="C14:Q14" ca="1" si="1">SUM(C4:C13)</f>
        <v>0</v>
      </c>
      <c r="D14" s="488">
        <f t="shared" ca="1" si="1"/>
        <v>9191.4327039343007</v>
      </c>
      <c r="E14" s="488">
        <f t="shared" si="1"/>
        <v>2940.5795546620516</v>
      </c>
      <c r="F14" s="488">
        <f t="shared" ca="1" si="1"/>
        <v>52437.870762526312</v>
      </c>
      <c r="G14" s="488">
        <f t="shared" si="1"/>
        <v>22068.736299070526</v>
      </c>
      <c r="H14" s="488">
        <f t="shared" si="1"/>
        <v>6327.6216429554242</v>
      </c>
      <c r="I14" s="488">
        <f t="shared" si="1"/>
        <v>0</v>
      </c>
      <c r="J14" s="488">
        <f t="shared" si="1"/>
        <v>1799.7747719478957</v>
      </c>
      <c r="K14" s="488">
        <f t="shared" si="1"/>
        <v>0</v>
      </c>
      <c r="L14" s="488">
        <f t="shared" ca="1" si="1"/>
        <v>0</v>
      </c>
      <c r="M14" s="488">
        <f t="shared" si="1"/>
        <v>1476.3302212487204</v>
      </c>
      <c r="N14" s="488">
        <f t="shared" ca="1" si="1"/>
        <v>4862.5471334393606</v>
      </c>
      <c r="O14" s="488">
        <f t="shared" si="1"/>
        <v>179.78333333333333</v>
      </c>
      <c r="P14" s="489">
        <f t="shared" si="1"/>
        <v>1277.4666666666667</v>
      </c>
      <c r="Q14" s="489">
        <f t="shared" ca="1" si="1"/>
        <v>121313.84278727057</v>
      </c>
    </row>
    <row r="16" spans="1:17">
      <c r="A16" s="491" t="s">
        <v>556</v>
      </c>
      <c r="B16" s="841">
        <f ca="1">huishoudens!B10</f>
        <v>0.18011740770373053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1978.1986973819664</v>
      </c>
      <c r="C21" s="478">
        <f t="shared" ref="C21:C30" ca="1" si="3">C4*$C$16</f>
        <v>0</v>
      </c>
      <c r="D21" s="478">
        <f t="shared" ref="D21:D30" si="4">D4*$D$16</f>
        <v>1429.1152428498001</v>
      </c>
      <c r="E21" s="478">
        <f t="shared" ref="E21:E30" si="5">E4*$E$16</f>
        <v>587.12290798044592</v>
      </c>
      <c r="F21" s="478">
        <f t="shared" ref="F21:F30" si="6">F4*$F$16</f>
        <v>10619.861880129594</v>
      </c>
      <c r="G21" s="478">
        <f t="shared" ref="G21:G30" si="7">G4*$G$16</f>
        <v>0</v>
      </c>
      <c r="H21" s="478">
        <f t="shared" ref="H21:H30" si="8">H4*$H$16</f>
        <v>0</v>
      </c>
      <c r="I21" s="478">
        <f t="shared" ref="I21:I30" si="9">I4*$I$16</f>
        <v>0</v>
      </c>
      <c r="J21" s="478">
        <f t="shared" ref="J21:J30" si="10">J4*$J$16</f>
        <v>494.29336756179549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15108.592095903603</v>
      </c>
    </row>
    <row r="22" spans="1:17">
      <c r="A22" s="477" t="s">
        <v>156</v>
      </c>
      <c r="B22" s="478">
        <f t="shared" ca="1" si="2"/>
        <v>718.65318278171151</v>
      </c>
      <c r="C22" s="478">
        <f t="shared" ca="1" si="3"/>
        <v>0</v>
      </c>
      <c r="D22" s="478">
        <f t="shared" ca="1" si="4"/>
        <v>385.68348734960006</v>
      </c>
      <c r="E22" s="478">
        <f t="shared" si="5"/>
        <v>17.5785675139566</v>
      </c>
      <c r="F22" s="478">
        <f t="shared" ca="1" si="6"/>
        <v>191.07485837429223</v>
      </c>
      <c r="G22" s="478">
        <f t="shared" si="7"/>
        <v>0</v>
      </c>
      <c r="H22" s="478">
        <f t="shared" si="8"/>
        <v>0</v>
      </c>
      <c r="I22" s="478">
        <f t="shared" si="9"/>
        <v>0</v>
      </c>
      <c r="J22" s="478">
        <f t="shared" si="10"/>
        <v>3.2908907999717224E-3</v>
      </c>
      <c r="K22" s="478">
        <f t="shared" si="11"/>
        <v>0</v>
      </c>
      <c r="L22" s="478">
        <f t="shared" ca="1" si="12"/>
        <v>0</v>
      </c>
      <c r="M22" s="478">
        <f t="shared" si="13"/>
        <v>0</v>
      </c>
      <c r="N22" s="478">
        <f t="shared" ca="1" si="14"/>
        <v>0</v>
      </c>
      <c r="O22" s="478">
        <f t="shared" si="15"/>
        <v>0</v>
      </c>
      <c r="P22" s="479">
        <f t="shared" si="16"/>
        <v>0</v>
      </c>
      <c r="Q22" s="477">
        <f t="shared" ref="Q22:Q30" ca="1" si="17">SUM(B22:P22)</f>
        <v>1312.9933869103604</v>
      </c>
    </row>
    <row r="23" spans="1:17">
      <c r="A23" s="477" t="s">
        <v>194</v>
      </c>
      <c r="B23" s="478">
        <f t="shared" ca="1" si="2"/>
        <v>67.702170972862817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67.702170972862817</v>
      </c>
    </row>
    <row r="24" spans="1:17">
      <c r="A24" s="477" t="s">
        <v>112</v>
      </c>
      <c r="B24" s="478">
        <f t="shared" ca="1" si="2"/>
        <v>501.5894800106056</v>
      </c>
      <c r="C24" s="478">
        <f t="shared" ca="1" si="3"/>
        <v>0</v>
      </c>
      <c r="D24" s="478">
        <f t="shared" si="4"/>
        <v>0</v>
      </c>
      <c r="E24" s="478">
        <f t="shared" si="5"/>
        <v>18.580752839503756</v>
      </c>
      <c r="F24" s="478">
        <f t="shared" si="6"/>
        <v>3097.5450057987414</v>
      </c>
      <c r="G24" s="478">
        <f t="shared" si="7"/>
        <v>0</v>
      </c>
      <c r="H24" s="478">
        <f t="shared" si="8"/>
        <v>0</v>
      </c>
      <c r="I24" s="478">
        <f t="shared" si="9"/>
        <v>0</v>
      </c>
      <c r="J24" s="478">
        <f t="shared" si="10"/>
        <v>142.82361081695962</v>
      </c>
      <c r="K24" s="478">
        <f t="shared" si="11"/>
        <v>0</v>
      </c>
      <c r="L24" s="478">
        <f t="shared" si="12"/>
        <v>0</v>
      </c>
      <c r="M24" s="478">
        <f t="shared" si="13"/>
        <v>0</v>
      </c>
      <c r="N24" s="478">
        <f t="shared" si="14"/>
        <v>0</v>
      </c>
      <c r="O24" s="478">
        <f t="shared" si="15"/>
        <v>0</v>
      </c>
      <c r="P24" s="479">
        <f t="shared" si="16"/>
        <v>0</v>
      </c>
      <c r="Q24" s="477">
        <f t="shared" ca="1" si="17"/>
        <v>3760.53884946581</v>
      </c>
    </row>
    <row r="25" spans="1:17">
      <c r="A25" s="477" t="s">
        <v>635</v>
      </c>
      <c r="B25" s="478">
        <f t="shared" ca="1" si="2"/>
        <v>109.1990602989099</v>
      </c>
      <c r="C25" s="478">
        <f t="shared" ca="1" si="3"/>
        <v>0</v>
      </c>
      <c r="D25" s="478">
        <f t="shared" si="4"/>
        <v>30.360105908000005</v>
      </c>
      <c r="E25" s="478">
        <f t="shared" si="5"/>
        <v>27.654101317121569</v>
      </c>
      <c r="F25" s="478">
        <f t="shared" si="6"/>
        <v>92.429749291898787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259.64301681593025</v>
      </c>
    </row>
    <row r="26" spans="1:17" s="483" customFormat="1">
      <c r="A26" s="481" t="s">
        <v>561</v>
      </c>
      <c r="B26" s="835">
        <f t="shared" ca="1" si="2"/>
        <v>2.1649481039456693</v>
      </c>
      <c r="C26" s="482">
        <f t="shared" ca="1" si="3"/>
        <v>0</v>
      </c>
      <c r="D26" s="482">
        <f t="shared" si="4"/>
        <v>11.510570087328494</v>
      </c>
      <c r="E26" s="482">
        <f t="shared" si="5"/>
        <v>16.575229257257931</v>
      </c>
      <c r="F26" s="482">
        <f t="shared" si="6"/>
        <v>0</v>
      </c>
      <c r="G26" s="482">
        <f t="shared" si="7"/>
        <v>5755.6363841544053</v>
      </c>
      <c r="H26" s="482">
        <f t="shared" si="8"/>
        <v>1575.5777890959007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7361.4649206988379</v>
      </c>
    </row>
    <row r="27" spans="1:17">
      <c r="A27" s="477" t="s">
        <v>551</v>
      </c>
      <c r="B27" s="478">
        <f t="shared" ca="1" si="2"/>
        <v>0</v>
      </c>
      <c r="C27" s="478">
        <f t="shared" ca="1" si="3"/>
        <v>0</v>
      </c>
      <c r="D27" s="478">
        <f t="shared" si="4"/>
        <v>0</v>
      </c>
      <c r="E27" s="478">
        <f t="shared" si="5"/>
        <v>0</v>
      </c>
      <c r="F27" s="478">
        <f t="shared" si="6"/>
        <v>0</v>
      </c>
      <c r="G27" s="478">
        <f t="shared" si="7"/>
        <v>136.71620769742478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136.71620769742478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3377.5075395500021</v>
      </c>
      <c r="C31" s="488">
        <f t="shared" ca="1" si="18"/>
        <v>0</v>
      </c>
      <c r="D31" s="488">
        <f t="shared" ca="1" si="18"/>
        <v>1856.6694061947285</v>
      </c>
      <c r="E31" s="488">
        <f t="shared" si="18"/>
        <v>667.51155890828568</v>
      </c>
      <c r="F31" s="488">
        <f t="shared" ca="1" si="18"/>
        <v>14000.911493594527</v>
      </c>
      <c r="G31" s="488">
        <f t="shared" si="18"/>
        <v>5892.3525918518299</v>
      </c>
      <c r="H31" s="488">
        <f t="shared" si="18"/>
        <v>1575.5777890959007</v>
      </c>
      <c r="I31" s="488">
        <f t="shared" si="18"/>
        <v>0</v>
      </c>
      <c r="J31" s="488">
        <f t="shared" si="18"/>
        <v>637.12026926955514</v>
      </c>
      <c r="K31" s="488">
        <f t="shared" si="18"/>
        <v>0</v>
      </c>
      <c r="L31" s="488">
        <f t="shared" ca="1" si="18"/>
        <v>0</v>
      </c>
      <c r="M31" s="488">
        <f t="shared" si="18"/>
        <v>0</v>
      </c>
      <c r="N31" s="488">
        <f t="shared" ca="1" si="18"/>
        <v>0</v>
      </c>
      <c r="O31" s="488">
        <f t="shared" si="18"/>
        <v>0</v>
      </c>
      <c r="P31" s="489">
        <f t="shared" si="18"/>
        <v>0</v>
      </c>
      <c r="Q31" s="489">
        <f t="shared" ca="1" si="18"/>
        <v>28007.650648464831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0.18011740770373053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0.18011740770373053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0.18011740770373053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2018-09-06T12:47:07Z</dcterms:modified>
</cp:coreProperties>
</file>