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20" i="16"/>
  <c r="C22" s="1"/>
  <c r="D39"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<sst xmlns="http://schemas.openxmlformats.org/spreadsheetml/2006/main" count="1923" uniqueCount="816">
  <si>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</si>
  <si>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</si>
  <si>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</si>
  <si>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</si>
  <si>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</si>
  <si>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</si>
  <si>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</si>
  <si>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</si>
  <si>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</si>
  <si>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</si>
  <si>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</si>
  <si>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</si>
  <si>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</si>
  <si>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</si>
  <si>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</si>
  <si>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</si>
  <si>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</si>
  <si>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</si>
  <si>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</si>
  <si>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</si>
  <si>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</si>
  <si>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</si>
  <si>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</si>
  <si>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</si>
  <si>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</si>
  <si>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</si>
  <si>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</si>
  <si>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</si>
  <si>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</si>
  <si>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</si>
  <si>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</si>
  <si>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</si>
  <si>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</si>
  <si>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</si>
  <si>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</si>
  <si>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</si>
  <si>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</si>
  <si>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</si>
  <si>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</si>
  <si>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</si>
  <si>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</si>
  <si>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</si>
  <si>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</si>
  <si>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</si>
  <si>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</si>
  <si>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</si>
  <si>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</si>
  <si>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</si>
  <si>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</si>
  <si>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</si>
  <si>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</si>
  <si>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</si>
  <si>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</si>
  <si>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</si>
  <si>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</si>
  <si>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</si>
  <si>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</si>
  <si>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</si>
  <si>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</si>
  <si>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</si>
  <si>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</si>
  <si>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</si>
  <si>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</si>
  <si>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</si>
  <si>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</si>
  <si>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</si>
  <si>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</si>
  <si>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</si>
  <si>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</si>
  <si>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</si>
  <si>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</si>
  <si>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</si>
  <si>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</si>
  <si>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</si>
  <si>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</si>
  <si>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</si>
  <si>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</si>
  <si>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</si>
  <si>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</si>
  <si>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</si>
  <si>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</si>
  <si>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</si>
  <si>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</si>
  <si>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</si>
  <si>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</si>
  <si>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</si>
  <si>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</si>
  <si>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</si>
  <si>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</si>
  <si>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</si>
  <si>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</si>
  <si>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</si>
  <si>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</si>
  <si>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</si>
  <si>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</si>
  <si>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</si>
  <si>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</si>
  <si>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</si>
  <si>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</si>
  <si>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</si>
  <si>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</si>
  <si>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</si>
  <si>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</si>
  <si>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</si>
  <si>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</si>
  <si>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</si>
  <si>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</si>
  <si>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</si>
  <si>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</si>
  <si>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</si>
  <si>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</si>
  <si>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</si>
  <si>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</si>
  <si>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</si>
  <si>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</si>
  <si>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</si>
  <si>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</si>
  <si>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</si>
  <si>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</si>
  <si>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</si>
  <si>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</si>
  <si>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</si>
  <si>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</si>
  <si>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</si>
  <si>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</si>
  <si>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</si>
  <si>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</si>
  <si>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</si>
  <si>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</si>
  <si>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</si>
  <si>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</si>
  <si>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</si>
  <si>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</si>
  <si>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</si>
  <si>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</si>
  <si>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</si>
  <si>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</si>
  <si>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</si>
  <si>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</si>
  <si>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</si>
  <si>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</si>
  <si>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</si>
  <si>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</si>
  <si>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</si>
  <si>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</si>
  <si>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</si>
  <si>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</si>
  <si>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</si>
  <si>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</si>
  <si>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</si>
  <si>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</si>
  <si>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</si>
  <si>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</si>
  <si>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</si>
  <si>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</si>
  <si>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</si>
  <si>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</si>
  <si>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</si>
  <si>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</si>
  <si>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</si>
  <si>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</si>
  <si>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</si>
  <si>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</si>
  <si>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</si>
  <si>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</si>
  <si>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</si>
  <si>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</si>
  <si>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</si>
  <si>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</si>
  <si>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</si>
  <si>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</si>
  <si>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</si>
  <si>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</si>
  <si>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</si>
  <si>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</si>
  <si>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</si>
  <si>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</si>
  <si>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</si>
  <si>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</si>
  <si>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</si>
  <si>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</si>
  <si>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</si>
  <si>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</si>
  <si>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</si>
  <si>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</si>
  <si>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</si>
  <si>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</si>
  <si>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</si>
  <si>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</si>
  <si>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</si>
  <si>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</si>
  <si>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</si>
  <si>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</si>
  <si>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</si>
  <si>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</si>
  <si>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</si>
  <si>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</si>
  <si>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</si>
  <si>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</si>
  <si>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</si>
  <si>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</si>
  <si>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</si>
  <si>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</si>
  <si>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</si>
  <si>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</si>
  <si>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</si>
  <si>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</si>
  <si>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</si>
  <si>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</si>
  <si>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</si>
  <si>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</si>
  <si>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</si>
  <si>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</si>
  <si>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</si>
  <si>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</si>
  <si>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</si>
  <si>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</si>
  <si>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</si>
  <si>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</si>
  <si>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</si>
  <si>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</si>
  <si>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</si>
  <si>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</si>
  <si>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</si>
  <si>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</si>
  <si>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</si>
  <si>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</si>
  <si>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</si>
  <si>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</si>
  <si>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</si>
  <si>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</si>
  <si>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</si>
  <si>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</si>
  <si>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</si>
  <si>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</si>
  <si>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</si>
  <si>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</si>
  <si>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</si>
  <si>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</si>
  <si>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</si>
  <si>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</si>
  <si>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</si>
  <si>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</si>
  <si>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</si>
  <si>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</si>
  <si>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</si>
  <si>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</si>
  <si>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</si>
  <si>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</si>
  <si>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</si>
  <si>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</si>
  <si>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</si>
  <si>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</si>
  <si>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</si>
  <si>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</si>
  <si>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</si>
  <si>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</si>
  <si>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</si>
  <si>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</si>
  <si>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</si>
  <si>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</si>
  <si>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</si>
  <si>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</si>
  <si>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</si>
  <si>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</si>
  <si>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</si>
  <si>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</si>
  <si>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</si>
  <si>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</si>
  <si>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</si>
  <si>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</si>
  <si>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</si>
  <si>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</si>
  <si>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</si>
  <si>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</si>
  <si>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</si>
  <si>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</si>
  <si>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</si>
  <si>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</si>
  <si>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</si>
  <si>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</si>
  <si>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</si>
  <si>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</si>
  <si>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</si>
  <si>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</si>
  <si>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</si>
  <si>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</si>
  <si>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</si>
  <si>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</si>
  <si>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</si>
  <si>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</si>
  <si>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</si>
  <si>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</si>
  <si>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</si>
  <si>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</si>
  <si>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</si>
  <si>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</si>
  <si>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</si>
  <si>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</si>
  <si>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</si>
  <si>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</si>
  <si>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</si>
  <si>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</si>
  <si>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</si>
  <si>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</si>
  <si>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</si>
  <si>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</si>
  <si>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</si>
  <si>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</si>
  <si>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</si>
  <si>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</si>
  <si>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</si>
  <si>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</si>
  <si>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</si>
  <si>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</si>
  <si>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</si>
  <si>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</si>
  <si>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</si>
  <si>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</si>
  <si>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</si>
  <si>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</si>
  <si>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</si>
  <si>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</si>
  <si>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</si>
  <si>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</si>
  <si>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</si>
  <si>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</si>
  <si>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</si>
  <si>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</si>
  <si>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</si>
  <si>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</si>
  <si>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</si>
  <si>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</si>
  <si>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</si>
  <si>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</si>
  <si>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</si>
  <si>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</si>
  <si>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</si>
  <si>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</si>
  <si>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</si>
  <si>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</si>
  <si>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</si>
  <si>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</si>
  <si>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</si>
  <si>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</si>
  <si>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</si>
  <si>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</si>
  <si>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</si>
  <si>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</si>
  <si>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</si>
  <si>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</si>
  <si>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</si>
  <si>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</si>
  <si>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</si>
  <si>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</si>
  <si>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</si>
  <si>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</si>
  <si>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</si>
  <si>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</si>
  <si>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</si>
  <si>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</si>
  <si>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</si>
  <si>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</si>
  <si>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</si>
  <si>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</si>
  <si>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</si>
  <si>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</si>
  <si>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</si>
  <si>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</si>
  <si>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</si>
  <si>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</si>
  <si>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</si>
  <si>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</si>
  <si>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</si>
  <si>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</si>
  <si>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</si>
  <si>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</si>
  <si>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</si>
  <si>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</si>
  <si>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</si>
  <si>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</si>
  <si>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</si>
  <si>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</si>
  <si>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</si>
  <si>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</si>
  <si>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</si>
  <si>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</si>
  <si>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</si>
  <si>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</si>
  <si>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</si>
  <si>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</si>
  <si>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</si>
  <si>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</si>
  <si>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</si>
  <si>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</si>
  <si>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</si>
  <si>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</si>
  <si>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</si>
  <si>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</si>
  <si>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</si>
  <si>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</si>
  <si>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</si>
  <si>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</si>
  <si>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</si>
  <si>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</si>
  <si>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</si>
  <si>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</si>
  <si>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</si>
  <si>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</si>
  <si>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</si>
  <si>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</si>
  <si>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</si>
  <si>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</si>
  <si>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</si>
  <si>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</si>
  <si>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</si>
  <si>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</si>
  <si>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</si>
  <si>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</si>
  <si>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</si>
  <si>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</si>
  <si>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</si>
  <si>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</si>
  <si>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</si>
  <si>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</si>
  <si>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</si>
  <si>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</si>
  <si>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</si>
  <si>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</si>
  <si>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</si>
  <si>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</si>
  <si>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</si>
  <si>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</si>
  <si>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</si>
  <si>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</si>
  <si>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</si>
  <si>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</si>
  <si>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</si>
  <si>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</si>
  <si>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</si>
  <si>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</si>
  <si>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</si>
  <si>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</si>
  <si>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</si>
  <si>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</si>
  <si>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</si>
  <si>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</si>
  <si>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</si>
  <si>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</si>
  <si>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</si>
  <si>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</si>
  <si>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</si>
  <si>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</si>
  <si>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</si>
  <si>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</si>
  <si>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</si>
  <si>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</si>
  <si>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</si>
  <si>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</si>
  <si>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</si>
  <si>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</si>
  <si>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</si>
  <si>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</si>
  <si>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</si>
  <si>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</si>
  <si>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</si>
  <si>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</si>
  <si>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</si>
  <si>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</si>
  <si>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</si>
  <si>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</si>
  <si>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</si>
  <si>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</si>
  <si>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</si>
  <si>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</si>
  <si>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</si>
  <si>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</si>
  <si>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</si>
  <si>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</si>
  <si>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</si>
  <si>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</si>
  <si>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</si>
  <si>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</si>
  <si>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</si>
  <si>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</si>
  <si>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</si>
  <si>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</si>
  <si>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</si>
  <si>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</si>
  <si>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</si>
  <si>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</si>
  <si>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</si>
  <si>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</si>
  <si>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</si>
  <si>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</si>
  <si>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</si>
  <si>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</si>
  <si>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</si>
  <si>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</si>
  <si>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</si>
  <si>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</si>
  <si>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</si>
  <si>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</si>
  <si>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</si>
  <si>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</si>
  <si>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</si>
  <si>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</si>
  <si>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</si>
  <si>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</si>
  <si>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</si>
  <si>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</si>
  <si>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</si>
  <si>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</si>
  <si>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</si>
  <si>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</si>
  <si>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</si>
  <si>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</si>
  <si>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</si>
  <si>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</si>
  <si>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</si>
  <si>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</si>
  <si>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</si>
  <si>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</si>
  <si>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</si>
  <si>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</si>
  <si>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</si>
  <si>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</si>
  <si>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</si>
  <si>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</si>
  <si>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</si>
  <si>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</si>
  <si>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</si>
  <si>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</si>
  <si>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</si>
  <si>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</si>
  <si>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</si>
  <si>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</si>
  <si>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</si>
  <si>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</si>
  <si>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</si>
  <si>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</si>
  <si>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</si>
  <si>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</si>
  <si>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</si>
  <si>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</si>
  <si>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</si>
  <si>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</si>
  <si>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</si>
  <si>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</si>
  <si>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</si>
  <si>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</si>
  <si>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</si>
  <si>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</si>
  <si>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</si>
  <si>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</si>
  <si>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</si>
  <si>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</si>
  <si>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</si>
  <si>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</si>
  <si>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</si>
  <si>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</si>
  <si>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</si>
  <si>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</si>
  <si>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</si>
  <si>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</si>
  <si>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</si>
  <si>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</si>
  <si>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</si>
  <si>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</si>
  <si>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</si>
  <si>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</si>
  <si>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</si>
  <si>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</si>
  <si>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</si>
  <si>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</si>
  <si>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</si>
  <si>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</si>
  <si>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</si>
  <si>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</si>
  <si>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</si>
  <si>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</si>
  <si>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</si>
  <si>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</si>
  <si>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</si>
  <si>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</si>
  <si>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</si>
  <si>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</si>
  <si>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</si>
  <si>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</si>
  <si>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</si>
  <si>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</si>
  <si>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</si>
  <si>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</si>
  <si>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</si>
  <si>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</si>
  <si>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</si>
  <si>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</si>
  <si>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</si>
  <si>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</si>
  <si>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</si>
  <si>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</si>
  <si>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</si>
  <si>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</si>
  <si>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</si>
  <si>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</si>
  <si>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</si>
  <si>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</si>
  <si>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</si>
  <si>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</si>
  <si>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</si>
  <si>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</si>
  <si>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</si>
  <si>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</si>
  <si>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</si>
  <si>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</si>
  <si>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</si>
  <si>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</si>
  <si>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</si>
  <si>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</si>
  <si>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</si>
  <si>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</si>
  <si>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</si>
  <si>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</si>
  <si>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</si>
  <si>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</si>
  <si>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</si>
  <si>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</si>
  <si>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</si>
  <si>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</si>
  <si>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</si>
  <si>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</si>
  <si>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</si>
  <si>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</si>
  <si>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</si>
  <si>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</si>
  <si>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</si>
  <si>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</si>
  <si>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</si>
  <si>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</si>
  <si>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</si>
  <si>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</si>
  <si>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</si>
  <si>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</si>
  <si>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</si>
  <si>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</si>
  <si>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</si>
  <si>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</si>
  <si>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</si>
  <si>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</si>
  <si>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</si>
  <si>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</si>
  <si>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</si>
  <si>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</si>
  <si>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</si>
  <si>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</si>
  <si>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</si>
  <si>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</si>
  <si>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</si>
  <si>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</si>
  <si>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</si>
  <si>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</si>
  <si>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</si>
  <si>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</si>
  <si>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</si>
  <si>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</si>
  <si>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</si>
  <si>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</si>
  <si>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</si>
  <si>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</si>
  <si>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</si>
  <si>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</si>
  <si>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</si>
  <si>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</si>
  <si>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</si>
  <si>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</si>
  <si>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</si>
  <si>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</si>
  <si>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</si>
  <si>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</si>
  <si>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</si>
  <si>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</si>
  <si>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</si>
  <si>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</si>
  <si>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</si>
  <si>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</si>
  <si>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</si>
  <si>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</si>
  <si>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</si>
  <si>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</si>
  <si>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</si>
  <si>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</si>
  <si>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</si>
  <si>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</si>
  <si>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</si>
  <si>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</si>
  <si>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</si>
  <si>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</si>
  <si>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</si>
  <si>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</si>
  <si>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</si>
  <si>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</si>
  <si>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</si>
  <si>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</si>
  <si>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</si>
  <si>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</si>
  <si>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</si>
  <si>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</si>
  <si>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</si>
  <si>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</si>
  <si>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</si>
  <si>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</si>
  <si>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</si>
  <si>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</si>
  <si>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</si>
  <si>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</si>
  <si>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</si>
  <si>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</si>
  <si>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</si>
  <si>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</si>
  <si>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</si>
  <si>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</si>
  <si>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</si>
  <si>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</si>
  <si>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</si>
  <si>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</si>
  <si>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</si>
  <si>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</si>
  <si>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</si>
  <si>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</si>
  <si>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</si>
  <si>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</si>
  <si>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</si>
  <si>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</si>
  <si>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</si>
  <si>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</si>
  <si>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</si>
  <si>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</si>
  <si>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</si>
  <si>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</si>
  <si>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</si>
  <si>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</si>
  <si>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</si>
  <si>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</si>
  <si>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</si>
  <si>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</si>
  <si>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</si>
  <si>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</si>
  <si>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</si>
  <si>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</si>
  <si>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</si>
  <si>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</si>
  <si>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</si>
  <si>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</si>
  <si>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</si>
  <si>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</si>
  <si>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</si>
  <si>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</si>
  <si>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</si>
  <si>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</si>
  <si>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</si>
  <si>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</si>
  <si>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</si>
  <si>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</si>
  <si>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</si>
  <si>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</si>
  <si>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</si>
  <si>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</si>
  <si>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</si>
  <si>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</si>
  <si>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</si>
  <si>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</si>
  <si>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</si>
  <si>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</si>
  <si>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</si>
  <si>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</si>
  <si>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</si>
  <si>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</si>
  <si>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</si>
  <si>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</si>
  <si>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</si>
  <si>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</si>
  <si>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</si>
  <si>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</si>
  <si>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</si>
  <si>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</si>
  <si>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</si>
  <si>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</si>
  <si>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</si>
  <si>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</si>
  <si>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</si>
  <si>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</si>
  <si>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</si>
  <si>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</si>
  <si>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</si>
  <si>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</si>
  <si>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</si>
  <si>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</si>
  <si>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</si>
  <si>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</si>
  <si>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</si>
  <si>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</si>
  <si>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24016</t>
  </si>
  <si>
    <t>BOUTERSEM</t>
  </si>
  <si>
    <t>Eandis (januari 2018); Infrax (juni 2018)</t>
  </si>
  <si>
    <t>MOW (september 2017)</t>
  </si>
  <si>
    <t>referentietaak LNE (2017); Jaarverslag De Lijn (2016)</t>
  </si>
  <si>
    <t>VEA (april 2018)</t>
  </si>
  <si>
    <t>VEA (januari 2017)</t>
  </si>
  <si>
    <t>VEA (juni 2018)</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</si>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</sst>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71992.505219712039</c:v>
                </c:pt>
                <c:pt idx="1">
                  <c:v>10463.670822733529</c:v>
                </c:pt>
                <c:pt idx="2">
                  <c:v>418.88099999999997</c:v>
                </c:pt>
                <c:pt idx="3">
                  <c:v>11296.326076734153</c:v>
                </c:pt>
                <c:pt idx="4">
                  <c:v>2158.6880037823516</c:v>
                </c:pt>
                <c:pt idx="5">
                  <c:v>116221.79930905689</c:v>
                </c:pt>
                <c:pt idx="6">
                  <c:v>751.49197942263584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71992.505219712039</c:v>
                </c:pt>
                <c:pt idx="1">
                  <c:v>10463.670822733529</c:v>
                </c:pt>
                <c:pt idx="2">
                  <c:v>418.88099999999997</c:v>
                </c:pt>
                <c:pt idx="3">
                  <c:v>11296.326076734153</c:v>
                </c:pt>
                <c:pt idx="4">
                  <c:v>2158.6880037823516</c:v>
                </c:pt>
                <c:pt idx="5">
                  <c:v>116221.79930905689</c:v>
                </c:pt>
                <c:pt idx="6">
                  <c:v>751.49197942263584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13216.390807396856</c:v>
                </c:pt>
                <c:pt idx="1">
                  <c:v>1796.3450033077413</c:v>
                </c:pt>
                <c:pt idx="2">
                  <c:v>54.077820433835797</c:v>
                </c:pt>
                <c:pt idx="3">
                  <c:v>743.45772935205389</c:v>
                </c:pt>
                <c:pt idx="4">
                  <c:v>364.75359110367725</c:v>
                </c:pt>
                <c:pt idx="5">
                  <c:v>29095.932293550395</c:v>
                </c:pt>
                <c:pt idx="6">
                  <c:v>189.86487195195284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13216.390807396856</c:v>
                </c:pt>
                <c:pt idx="1">
                  <c:v>1796.3450033077413</c:v>
                </c:pt>
                <c:pt idx="2">
                  <c:v>54.077820433835797</c:v>
                </c:pt>
                <c:pt idx="3">
                  <c:v>743.45772935205389</c:v>
                </c:pt>
                <c:pt idx="4">
                  <c:v>364.75359110367725</c:v>
                </c:pt>
                <c:pt idx="5">
                  <c:v>29095.932293550395</c:v>
                </c:pt>
                <c:pt idx="6">
                  <c:v>189.86487195195284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24016</v>
      </c>
      <c r="B6" s="415"/>
      <c r="C6" s="416"/>
    </row>
    <row r="7" spans="1:7" s="413" customFormat="1" ht="15.75" customHeight="1">
      <c r="A7" s="417" t="str">
        <f>txtMunicipality</f>
        <v>BOUTERSEM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3101</v>
      </c>
      <c r="C9" s="342">
        <v>2974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1868.8</v>
      </c>
    </row>
    <row r="15" spans="1:6">
      <c r="A15" s="348" t="s">
        <v>184</v>
      </c>
      <c r="B15" s="334">
        <v>819</v>
      </c>
    </row>
    <row r="16" spans="1:6">
      <c r="A16" s="348" t="s">
        <v>6</v>
      </c>
      <c r="B16" s="334">
        <v>52</v>
      </c>
    </row>
    <row r="17" spans="1:6">
      <c r="A17" s="348" t="s">
        <v>7</v>
      </c>
      <c r="B17" s="334">
        <v>627</v>
      </c>
    </row>
    <row r="18" spans="1:6">
      <c r="A18" s="348" t="s">
        <v>8</v>
      </c>
      <c r="B18" s="334">
        <v>570</v>
      </c>
    </row>
    <row r="19" spans="1:6">
      <c r="A19" s="348" t="s">
        <v>9</v>
      </c>
      <c r="B19" s="334">
        <v>648</v>
      </c>
    </row>
    <row r="20" spans="1:6">
      <c r="A20" s="348" t="s">
        <v>10</v>
      </c>
      <c r="B20" s="334">
        <v>388</v>
      </c>
    </row>
    <row r="21" spans="1:6">
      <c r="A21" s="348" t="s">
        <v>11</v>
      </c>
      <c r="B21" s="334">
        <v>0</v>
      </c>
    </row>
    <row r="22" spans="1:6">
      <c r="A22" s="348" t="s">
        <v>12</v>
      </c>
      <c r="B22" s="334">
        <v>4384</v>
      </c>
    </row>
    <row r="23" spans="1:6">
      <c r="A23" s="348" t="s">
        <v>13</v>
      </c>
      <c r="B23" s="334">
        <v>1</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128</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8996</v>
      </c>
    </row>
    <row r="37" spans="1:6">
      <c r="A37" s="348" t="s">
        <v>25</v>
      </c>
      <c r="B37" s="348" t="s">
        <v>28</v>
      </c>
      <c r="C37" s="334">
        <v>0</v>
      </c>
      <c r="D37" s="334">
        <v>0</v>
      </c>
      <c r="E37" s="334">
        <v>0</v>
      </c>
      <c r="F37" s="334">
        <v>0</v>
      </c>
    </row>
    <row r="38" spans="1:6">
      <c r="A38" s="348" t="s">
        <v>25</v>
      </c>
      <c r="B38" s="348" t="s">
        <v>29</v>
      </c>
      <c r="C38" s="334">
        <v>0</v>
      </c>
      <c r="D38" s="334">
        <v>0</v>
      </c>
      <c r="E38" s="334">
        <v>1</v>
      </c>
      <c r="F38" s="334">
        <v>85766.002392007198</v>
      </c>
    </row>
    <row r="39" spans="1:6">
      <c r="A39" s="348" t="s">
        <v>30</v>
      </c>
      <c r="B39" s="348" t="s">
        <v>31</v>
      </c>
      <c r="C39" s="334">
        <v>1749</v>
      </c>
      <c r="D39" s="334">
        <v>32924210.1632558</v>
      </c>
      <c r="E39" s="334">
        <v>3019</v>
      </c>
      <c r="F39" s="334">
        <v>11824100.0186287</v>
      </c>
    </row>
    <row r="40" spans="1:6">
      <c r="A40" s="348" t="s">
        <v>30</v>
      </c>
      <c r="B40" s="348" t="s">
        <v>29</v>
      </c>
      <c r="C40" s="334">
        <v>0</v>
      </c>
      <c r="D40" s="334">
        <v>0</v>
      </c>
      <c r="E40" s="334">
        <v>0</v>
      </c>
      <c r="F40" s="334">
        <v>0</v>
      </c>
    </row>
    <row r="41" spans="1:6">
      <c r="A41" s="348" t="s">
        <v>32</v>
      </c>
      <c r="B41" s="348" t="s">
        <v>33</v>
      </c>
      <c r="C41" s="334">
        <v>6</v>
      </c>
      <c r="D41" s="334">
        <v>71842.342018870797</v>
      </c>
      <c r="E41" s="334">
        <v>46</v>
      </c>
      <c r="F41" s="334">
        <v>452211.990523307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47988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393012.48567115498</v>
      </c>
      <c r="E48" s="334">
        <v>16</v>
      </c>
      <c r="F48" s="334">
        <v>156366.91993221699</v>
      </c>
    </row>
    <row r="49" spans="1:6">
      <c r="A49" s="348" t="s">
        <v>32</v>
      </c>
      <c r="B49" s="348" t="s">
        <v>40</v>
      </c>
      <c r="C49" s="334">
        <v>0</v>
      </c>
      <c r="D49" s="334">
        <v>0</v>
      </c>
      <c r="E49" s="334">
        <v>0</v>
      </c>
      <c r="F49" s="334">
        <v>0</v>
      </c>
    </row>
    <row r="50" spans="1:6">
      <c r="A50" s="348" t="s">
        <v>32</v>
      </c>
      <c r="B50" s="348" t="s">
        <v>41</v>
      </c>
      <c r="C50" s="334">
        <v>4</v>
      </c>
      <c r="D50" s="334">
        <v>158697.82841773401</v>
      </c>
      <c r="E50" s="334">
        <v>6</v>
      </c>
      <c r="F50" s="334">
        <v>188432.35820483699</v>
      </c>
    </row>
    <row r="51" spans="1:6">
      <c r="A51" s="348" t="s">
        <v>42</v>
      </c>
      <c r="B51" s="348" t="s">
        <v>43</v>
      </c>
      <c r="C51" s="334">
        <v>12</v>
      </c>
      <c r="D51" s="334">
        <v>202833.76677316701</v>
      </c>
      <c r="E51" s="334">
        <v>48</v>
      </c>
      <c r="F51" s="334">
        <v>338559.21430069901</v>
      </c>
    </row>
    <row r="52" spans="1:6">
      <c r="A52" s="348" t="s">
        <v>42</v>
      </c>
      <c r="B52" s="348" t="s">
        <v>29</v>
      </c>
      <c r="C52" s="334">
        <v>8</v>
      </c>
      <c r="D52" s="334">
        <v>175780.989865771</v>
      </c>
      <c r="E52" s="334">
        <v>7</v>
      </c>
      <c r="F52" s="334">
        <v>45835.238872001202</v>
      </c>
    </row>
    <row r="53" spans="1:6">
      <c r="A53" s="348" t="s">
        <v>44</v>
      </c>
      <c r="B53" s="348" t="s">
        <v>45</v>
      </c>
      <c r="C53" s="334">
        <v>45</v>
      </c>
      <c r="D53" s="334">
        <v>960478.13600122498</v>
      </c>
      <c r="E53" s="334">
        <v>88</v>
      </c>
      <c r="F53" s="334">
        <v>387072.31322470802</v>
      </c>
    </row>
    <row r="54" spans="1:6">
      <c r="A54" s="348" t="s">
        <v>46</v>
      </c>
      <c r="B54" s="348" t="s">
        <v>47</v>
      </c>
      <c r="C54" s="334">
        <v>0</v>
      </c>
      <c r="D54" s="334">
        <v>0</v>
      </c>
      <c r="E54" s="334">
        <v>1</v>
      </c>
      <c r="F54" s="334">
        <v>418881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183286.664114941</v>
      </c>
      <c r="E57" s="334">
        <v>16</v>
      </c>
      <c r="F57" s="334">
        <v>382837.83280484797</v>
      </c>
    </row>
    <row r="58" spans="1:6">
      <c r="A58" s="348" t="s">
        <v>49</v>
      </c>
      <c r="B58" s="348" t="s">
        <v>51</v>
      </c>
      <c r="C58" s="334">
        <v>6</v>
      </c>
      <c r="D58" s="334">
        <v>314105.74487930501</v>
      </c>
      <c r="E58" s="334">
        <v>11</v>
      </c>
      <c r="F58" s="334">
        <v>103150.629432086</v>
      </c>
    </row>
    <row r="59" spans="1:6">
      <c r="A59" s="348" t="s">
        <v>49</v>
      </c>
      <c r="B59" s="348" t="s">
        <v>52</v>
      </c>
      <c r="C59" s="334">
        <v>4</v>
      </c>
      <c r="D59" s="334">
        <v>145338.14414262201</v>
      </c>
      <c r="E59" s="334">
        <v>49</v>
      </c>
      <c r="F59" s="334">
        <v>880518.73150122503</v>
      </c>
    </row>
    <row r="60" spans="1:6">
      <c r="A60" s="348" t="s">
        <v>49</v>
      </c>
      <c r="B60" s="348" t="s">
        <v>53</v>
      </c>
      <c r="C60" s="334">
        <v>7</v>
      </c>
      <c r="D60" s="334">
        <v>689266.52071413095</v>
      </c>
      <c r="E60" s="334">
        <v>20</v>
      </c>
      <c r="F60" s="334">
        <v>388052.37061871402</v>
      </c>
    </row>
    <row r="61" spans="1:6">
      <c r="A61" s="348" t="s">
        <v>49</v>
      </c>
      <c r="B61" s="348" t="s">
        <v>54</v>
      </c>
      <c r="C61" s="334">
        <v>47</v>
      </c>
      <c r="D61" s="334">
        <v>2294890.2048607101</v>
      </c>
      <c r="E61" s="334">
        <v>109</v>
      </c>
      <c r="F61" s="334">
        <v>1087689.9521103499</v>
      </c>
    </row>
    <row r="62" spans="1:6">
      <c r="A62" s="348" t="s">
        <v>49</v>
      </c>
      <c r="B62" s="348" t="s">
        <v>55</v>
      </c>
      <c r="C62" s="334">
        <v>0</v>
      </c>
      <c r="D62" s="334">
        <v>0</v>
      </c>
      <c r="E62" s="334">
        <v>0</v>
      </c>
      <c r="F62" s="334">
        <v>0</v>
      </c>
    </row>
    <row r="63" spans="1:6">
      <c r="A63" s="348" t="s">
        <v>49</v>
      </c>
      <c r="B63" s="348" t="s">
        <v>29</v>
      </c>
      <c r="C63" s="334">
        <v>76</v>
      </c>
      <c r="D63" s="334">
        <v>2558564.3852028302</v>
      </c>
      <c r="E63" s="334">
        <v>77</v>
      </c>
      <c r="F63" s="334">
        <v>903437.315015901</v>
      </c>
    </row>
    <row r="64" spans="1:6">
      <c r="A64" s="348" t="s">
        <v>56</v>
      </c>
      <c r="B64" s="348" t="s">
        <v>57</v>
      </c>
      <c r="C64" s="334">
        <v>0</v>
      </c>
      <c r="D64" s="334">
        <v>0</v>
      </c>
      <c r="E64" s="334">
        <v>0</v>
      </c>
      <c r="F64" s="334">
        <v>0</v>
      </c>
    </row>
    <row r="65" spans="1:6">
      <c r="A65" s="348" t="s">
        <v>56</v>
      </c>
      <c r="B65" s="348" t="s">
        <v>29</v>
      </c>
      <c r="C65" s="334">
        <v>1</v>
      </c>
      <c r="D65" s="334">
        <v>30638.100195700401</v>
      </c>
      <c r="E65" s="334">
        <v>2</v>
      </c>
      <c r="F65" s="334">
        <v>73120.482699197106</v>
      </c>
    </row>
    <row r="66" spans="1:6">
      <c r="A66" s="348" t="s">
        <v>56</v>
      </c>
      <c r="B66" s="348" t="s">
        <v>58</v>
      </c>
      <c r="C66" s="334">
        <v>0</v>
      </c>
      <c r="D66" s="334">
        <v>0</v>
      </c>
      <c r="E66" s="334">
        <v>10</v>
      </c>
      <c r="F66" s="334">
        <v>265103</v>
      </c>
    </row>
    <row r="67" spans="1:6">
      <c r="A67" s="355" t="s">
        <v>56</v>
      </c>
      <c r="B67" s="355" t="s">
        <v>59</v>
      </c>
      <c r="C67" s="334">
        <v>0</v>
      </c>
      <c r="D67" s="334">
        <v>0</v>
      </c>
      <c r="E67" s="334">
        <v>0</v>
      </c>
      <c r="F67" s="334">
        <v>0</v>
      </c>
    </row>
    <row r="68" spans="1:6">
      <c r="A68" s="341" t="s">
        <v>56</v>
      </c>
      <c r="B68" s="341" t="s">
        <v>60</v>
      </c>
      <c r="C68" s="334">
        <v>3</v>
      </c>
      <c r="D68" s="334">
        <v>130215.836402171</v>
      </c>
      <c r="E68" s="334">
        <v>7</v>
      </c>
      <c r="F68" s="334">
        <v>218089.98738660099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28542991</v>
      </c>
      <c r="E73" s="476">
        <v>28675767.516485203</v>
      </c>
    </row>
    <row r="74" spans="1:6">
      <c r="A74" s="348" t="s">
        <v>64</v>
      </c>
      <c r="B74" s="348" t="s">
        <v>657</v>
      </c>
      <c r="C74" s="1213" t="s">
        <v>659</v>
      </c>
      <c r="D74" s="476">
        <v>2484300.407839376</v>
      </c>
      <c r="E74" s="476">
        <v>2442247.2442591833</v>
      </c>
    </row>
    <row r="75" spans="1:6">
      <c r="A75" s="348" t="s">
        <v>65</v>
      </c>
      <c r="B75" s="348" t="s">
        <v>656</v>
      </c>
      <c r="C75" s="1213" t="s">
        <v>660</v>
      </c>
      <c r="D75" s="476">
        <v>11209880</v>
      </c>
      <c r="E75" s="476">
        <v>11068968.452759085</v>
      </c>
    </row>
    <row r="76" spans="1:6">
      <c r="A76" s="348" t="s">
        <v>65</v>
      </c>
      <c r="B76" s="348" t="s">
        <v>657</v>
      </c>
      <c r="C76" s="1213" t="s">
        <v>661</v>
      </c>
      <c r="D76" s="476">
        <v>594550.40783937601</v>
      </c>
      <c r="E76" s="476">
        <v>579754.0607528257</v>
      </c>
    </row>
    <row r="77" spans="1:6">
      <c r="A77" s="348" t="s">
        <v>66</v>
      </c>
      <c r="B77" s="348" t="s">
        <v>656</v>
      </c>
      <c r="C77" s="1213" t="s">
        <v>662</v>
      </c>
      <c r="D77" s="476">
        <v>84385862</v>
      </c>
      <c r="E77" s="476">
        <v>87255187.292895168</v>
      </c>
    </row>
    <row r="78" spans="1:6">
      <c r="A78" s="341" t="s">
        <v>66</v>
      </c>
      <c r="B78" s="341" t="s">
        <v>657</v>
      </c>
      <c r="C78" s="341" t="s">
        <v>663</v>
      </c>
      <c r="D78" s="1214">
        <v>9147155</v>
      </c>
      <c r="E78" s="1214">
        <v>8761969.8019810338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203817.18432124789</v>
      </c>
      <c r="C83" s="476">
        <v>204094.54935086233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2167.4234067255479</v>
      </c>
    </row>
    <row r="92" spans="1:6">
      <c r="A92" s="341" t="s">
        <v>69</v>
      </c>
      <c r="B92" s="342">
        <v>289.02911163355861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725</v>
      </c>
    </row>
    <row r="98" spans="1:6">
      <c r="A98" s="348" t="s">
        <v>72</v>
      </c>
      <c r="B98" s="334">
        <v>0</v>
      </c>
    </row>
    <row r="99" spans="1:6">
      <c r="A99" s="348" t="s">
        <v>73</v>
      </c>
      <c r="B99" s="334">
        <v>45</v>
      </c>
    </row>
    <row r="100" spans="1:6">
      <c r="A100" s="348" t="s">
        <v>74</v>
      </c>
      <c r="B100" s="334">
        <v>134</v>
      </c>
    </row>
    <row r="101" spans="1:6">
      <c r="A101" s="348" t="s">
        <v>75</v>
      </c>
      <c r="B101" s="334">
        <v>32</v>
      </c>
    </row>
    <row r="102" spans="1:6">
      <c r="A102" s="348" t="s">
        <v>76</v>
      </c>
      <c r="B102" s="334">
        <v>19</v>
      </c>
    </row>
    <row r="103" spans="1:6">
      <c r="A103" s="348" t="s">
        <v>77</v>
      </c>
      <c r="B103" s="334">
        <v>54</v>
      </c>
    </row>
    <row r="104" spans="1:6">
      <c r="A104" s="348" t="s">
        <v>78</v>
      </c>
      <c r="B104" s="334">
        <v>1609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0</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19434.321567562689</v>
      </c>
      <c r="C3" s="43" t="s">
        <v>170</v>
      </c>
      <c r="D3" s="43"/>
      <c r="E3" s="154"/>
      <c r="F3" s="43"/>
      <c r="G3" s="43"/>
      <c r="H3" s="43"/>
      <c r="I3" s="43"/>
      <c r="J3" s="43"/>
      <c r="K3" s="96"/>
    </row>
    <row r="4" spans="1:11">
      <c r="A4" s="383" t="s">
        <v>171</v>
      </c>
      <c r="B4" s="49">
        <f>IF(ISERROR('SEAP template'!B69),0,'SEAP template'!B69)</f>
        <v>8081.4525183591068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0.12910067640651116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8035.7142857142862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418.88099999999997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418.88099999999997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0.12910067640651116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54.077820433835797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11824.1000186287</v>
      </c>
      <c r="C5" s="17">
        <f>IF(ISERROR('Eigen informatie GS &amp; warmtenet'!B57),0,'Eigen informatie GS &amp; warmtenet'!B57)</f>
        <v>0</v>
      </c>
      <c r="D5" s="30">
        <f>(SUM(HH_hh_gas_kWh,HH_rest_gas_kWh)/1000)*0.902</f>
        <v>29697.63756725673</v>
      </c>
      <c r="E5" s="17">
        <f>B46*B57</f>
        <v>2906.2796531469176</v>
      </c>
      <c r="F5" s="17">
        <f>B51*B62</f>
        <v>17795.608237362798</v>
      </c>
      <c r="G5" s="18"/>
      <c r="H5" s="17"/>
      <c r="I5" s="17"/>
      <c r="J5" s="17">
        <f>B50*B61+C50*C61</f>
        <v>0</v>
      </c>
      <c r="K5" s="17"/>
      <c r="L5" s="17"/>
      <c r="M5" s="17"/>
      <c r="N5" s="17">
        <f>B48*B59+C48*C59</f>
        <v>7043.1596699246666</v>
      </c>
      <c r="O5" s="17">
        <f>B69*B70*B71</f>
        <v>157.89666666666668</v>
      </c>
      <c r="P5" s="17">
        <f>B77*B78*B79/1000-B77*B78*B79/1000/B80</f>
        <v>400.4</v>
      </c>
    </row>
    <row r="6" spans="1:16">
      <c r="A6" s="16" t="s">
        <v>621</v>
      </c>
      <c r="B6" s="843">
        <f>kWh_PV_kleiner_dan_10kW</f>
        <v>2167.4234067255479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13991.523425354248</v>
      </c>
      <c r="C8" s="21">
        <f>C5</f>
        <v>0</v>
      </c>
      <c r="D8" s="21">
        <f>D5</f>
        <v>29697.63756725673</v>
      </c>
      <c r="E8" s="21">
        <f>E5</f>
        <v>2906.2796531469176</v>
      </c>
      <c r="F8" s="21">
        <f>F5</f>
        <v>17795.608237362798</v>
      </c>
      <c r="G8" s="21"/>
      <c r="H8" s="21"/>
      <c r="I8" s="21"/>
      <c r="J8" s="21">
        <f>J5</f>
        <v>0</v>
      </c>
      <c r="K8" s="21"/>
      <c r="L8" s="21">
        <f>L5</f>
        <v>0</v>
      </c>
      <c r="M8" s="21">
        <f>M5</f>
        <v>0</v>
      </c>
      <c r="N8" s="21">
        <f>N5</f>
        <v>7043.1596699246666</v>
      </c>
      <c r="O8" s="21">
        <f>O5</f>
        <v>157.89666666666668</v>
      </c>
      <c r="P8" s="21">
        <f>P5</f>
        <v>400.4</v>
      </c>
    </row>
    <row r="9" spans="1:16">
      <c r="B9" s="19"/>
      <c r="C9" s="19"/>
      <c r="D9" s="258"/>
      <c r="E9" s="19"/>
      <c r="F9" s="19"/>
      <c r="G9" s="19"/>
      <c r="H9" s="19"/>
      <c r="I9" s="19"/>
      <c r="J9" s="19"/>
      <c r="K9" s="19"/>
      <c r="L9" s="19"/>
      <c r="M9" s="19"/>
      <c r="N9" s="19"/>
      <c r="O9" s="19"/>
      <c r="P9" s="19"/>
    </row>
    <row r="10" spans="1:16">
      <c r="A10" s="24" t="s">
        <v>214</v>
      </c>
      <c r="B10" s="25">
        <f ca="1">'EF ele_warmte'!B12</f>
        <v>0.12910067640651116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1806.3151381707792</v>
      </c>
      <c r="C12" s="23">
        <f ca="1">C10*C8</f>
        <v>0</v>
      </c>
      <c r="D12" s="23">
        <f>D8*D10</f>
        <v>5998.92278858586</v>
      </c>
      <c r="E12" s="23">
        <f>E10*E8</f>
        <v>659.72548126435026</v>
      </c>
      <c r="F12" s="23">
        <f>F10*F8</f>
        <v>4751.427399375867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725</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21.327014218009481</v>
      </c>
      <c r="D20" s="229"/>
      <c r="E20" s="15"/>
    </row>
    <row r="21" spans="1:7">
      <c r="A21" s="171" t="s">
        <v>74</v>
      </c>
      <c r="B21" s="37">
        <f>aantalw2001_elektriciteit</f>
        <v>134</v>
      </c>
      <c r="C21" s="167">
        <f>IF(ISERROR(B21/SUM($B$20,$B$21,$B$22)*100),0,B21/SUM($B$20,$B$21,$B$22)*100)</f>
        <v>63.507109004739334</v>
      </c>
      <c r="D21" s="229"/>
      <c r="E21" s="15"/>
    </row>
    <row r="22" spans="1:7">
      <c r="A22" s="171" t="s">
        <v>75</v>
      </c>
      <c r="B22" s="37">
        <f>aantalw2001_hout</f>
        <v>32</v>
      </c>
      <c r="C22" s="167">
        <f>IF(ISERROR(B22/SUM($B$20,$B$21,$B$22)*100),0,B22/SUM($B$20,$B$21,$B$22)*100)</f>
        <v>15.165876777251185</v>
      </c>
      <c r="D22" s="229"/>
      <c r="E22" s="15"/>
    </row>
    <row r="23" spans="1:7">
      <c r="A23" s="171" t="s">
        <v>76</v>
      </c>
      <c r="B23" s="37">
        <f>aantalw2001_niet_gespec</f>
        <v>19</v>
      </c>
      <c r="C23" s="166" t="s">
        <v>111</v>
      </c>
      <c r="D23" s="228"/>
      <c r="E23" s="15"/>
    </row>
    <row r="24" spans="1:7">
      <c r="A24" s="171" t="s">
        <v>77</v>
      </c>
      <c r="B24" s="37">
        <f>aantalw2001_steenkool</f>
        <v>54</v>
      </c>
      <c r="C24" s="166" t="s">
        <v>111</v>
      </c>
      <c r="D24" s="229"/>
      <c r="E24" s="15"/>
    </row>
    <row r="25" spans="1:7">
      <c r="A25" s="171" t="s">
        <v>78</v>
      </c>
      <c r="B25" s="37">
        <f>aantalw2001_stookolie</f>
        <v>1609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3101</v>
      </c>
      <c r="C28" s="36"/>
      <c r="D28" s="228"/>
    </row>
    <row r="29" spans="1:7" s="15" customFormat="1">
      <c r="A29" s="230" t="s">
        <v>795</v>
      </c>
      <c r="B29" s="37">
        <f>SUM(HH_hh_gas_aantal,HH_rest_gas_aantal)</f>
        <v>1749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1749</v>
      </c>
      <c r="C32" s="167">
        <f>IF(ISERROR(B32/SUM($B$32,$B$34,$B$35,$B$36,$B$38,$B$39)*100),0,B32/SUM($B$32,$B$34,$B$35,$B$36,$B$38,$B$39)*100)</f>
        <v>56.785714285714285</v>
      </c>
      <c r="D32" s="233"/>
      <c r="G32" s="15"/>
    </row>
    <row r="33" spans="1:7">
      <c r="A33" s="171" t="s">
        <v>72</v>
      </c>
      <c r="B33" s="34" t="s">
        <v>111</v>
      </c>
      <c r="C33" s="167"/>
      <c r="D33" s="233"/>
      <c r="G33" s="15"/>
    </row>
    <row r="34" spans="1:7">
      <c r="A34" s="171" t="s">
        <v>73</v>
      </c>
      <c r="B34" s="33">
        <f>IF((($B$28-$B$32-$B$39-$B$77-$B$38)*C20/100)&lt;0,0,($B$28-$B$32-$B$39-$B$77-$B$38)*C20/100)</f>
        <v>137.26066350710903</v>
      </c>
      <c r="C34" s="167">
        <f>IF(ISERROR(B34/SUM($B$32,$B$34,$B$35,$B$36,$B$38,$B$39)*100),0,B34/SUM($B$32,$B$34,$B$35,$B$36,$B$38,$B$39)*100)</f>
        <v>4.4565150489321113</v>
      </c>
      <c r="D34" s="233"/>
      <c r="G34" s="15"/>
    </row>
    <row r="35" spans="1:7">
      <c r="A35" s="171" t="s">
        <v>74</v>
      </c>
      <c r="B35" s="33">
        <f>IF((($B$28-$B$32-$B$39-$B$77-$B$38)*C21/100)&lt;0,0,($B$28-$B$32-$B$39-$B$77-$B$38)*C21/100)</f>
        <v>408.73175355450235</v>
      </c>
      <c r="C35" s="167">
        <f>IF(ISERROR(B35/SUM($B$32,$B$34,$B$35,$B$36,$B$38,$B$39)*100),0,B35/SUM($B$32,$B$34,$B$35,$B$36,$B$38,$B$39)*100)</f>
        <v>13.270511479042286</v>
      </c>
      <c r="D35" s="233"/>
      <c r="G35" s="15"/>
    </row>
    <row r="36" spans="1:7">
      <c r="A36" s="171" t="s">
        <v>75</v>
      </c>
      <c r="B36" s="33">
        <f>IF((($B$28-$B$32-$B$39-$B$77-$B$38)*C22/100)&lt;0,0,($B$28-$B$32-$B$39-$B$77-$B$38)*C22/100)</f>
        <v>97.607582938388617</v>
      </c>
      <c r="C36" s="167">
        <f>IF(ISERROR(B36/SUM($B$32,$B$34,$B$35,$B$36,$B$38,$B$39)*100),0,B36/SUM($B$32,$B$34,$B$35,$B$36,$B$38,$B$39)*100)</f>
        <v>3.1690773681295004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687.4</v>
      </c>
      <c r="C39" s="167">
        <f>IF(ISERROR(B39/SUM($B$32,$B$34,$B$35,$B$36,$B$38,$B$39)*100),0,B39/SUM($B$32,$B$34,$B$35,$B$36,$B$38,$B$39)*100)</f>
        <v>22.318181818181817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1749</v>
      </c>
      <c r="C44" s="34" t="s">
        <v>111</v>
      </c>
      <c r="D44" s="174"/>
    </row>
    <row r="45" spans="1:7">
      <c r="A45" s="171" t="s">
        <v>72</v>
      </c>
      <c r="B45" s="33" t="str">
        <f t="shared" si="0"/>
        <v>-</v>
      </c>
      <c r="C45" s="34" t="s">
        <v>111</v>
      </c>
      <c r="D45" s="174"/>
    </row>
    <row r="46" spans="1:7">
      <c r="A46" s="171" t="s">
        <v>73</v>
      </c>
      <c r="B46" s="33">
        <f t="shared" si="0"/>
        <v>137.26066350710903</v>
      </c>
      <c r="C46" s="34" t="s">
        <v>111</v>
      </c>
      <c r="D46" s="174"/>
    </row>
    <row r="47" spans="1:7">
      <c r="A47" s="171" t="s">
        <v>74</v>
      </c>
      <c r="B47" s="33">
        <f t="shared" si="0"/>
        <v>408.73175355450235</v>
      </c>
      <c r="C47" s="34" t="s">
        <v>111</v>
      </c>
      <c r="D47" s="174"/>
    </row>
    <row r="48" spans="1:7">
      <c r="A48" s="171" t="s">
        <v>75</v>
      </c>
      <c r="B48" s="33">
        <f t="shared" si="0"/>
        <v>97.607582938388617</v>
      </c>
      <c r="C48" s="33">
        <f>B48*10</f>
        <v>976.07582938388623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687.4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3745.6868314831236</v>
      </c>
      <c r="C5" s="17">
        <f>IF(ISERROR('Eigen informatie GS &amp; warmtenet'!B58),0,'Eigen informatie GS &amp; warmtenet'!B58)</f>
        <v>0</v>
      </c>
      <c r="D5" s="30">
        <f>SUM(D6:D12)</f>
        <v>5579.277400850915</v>
      </c>
      <c r="E5" s="17">
        <f>SUM(E6:E12)</f>
        <v>49.181624308131148</v>
      </c>
      <c r="F5" s="17">
        <f>SUM(F6:F12)</f>
        <v>653.90381990387357</v>
      </c>
      <c r="G5" s="18"/>
      <c r="H5" s="17"/>
      <c r="I5" s="17"/>
      <c r="J5" s="17">
        <f>SUM(J6:J12)</f>
        <v>1.0497604925248637E-2</v>
      </c>
      <c r="K5" s="17"/>
      <c r="L5" s="17"/>
      <c r="M5" s="17"/>
      <c r="N5" s="17">
        <f>SUM(N6:N12)</f>
        <v>416.54398191589456</v>
      </c>
      <c r="O5" s="17">
        <f>B38*B39*B40</f>
        <v>0</v>
      </c>
      <c r="P5" s="17">
        <f>B46*B47*B48/1000-B46*B47*B48/1000/B49</f>
        <v>19.066666666666666</v>
      </c>
      <c r="R5" s="32"/>
    </row>
    <row r="6" spans="1:18">
      <c r="A6" s="32" t="s">
        <v>54</v>
      </c>
      <c r="B6" s="37">
        <f>B26</f>
        <v>1087.6899521103499</v>
      </c>
      <c r="C6" s="33"/>
      <c r="D6" s="37">
        <f>IF(ISERROR(TER_kantoor_gas_kWh/1000),0,TER_kantoor_gas_kWh/1000)*0.902</f>
        <v>2069.9909647843606</v>
      </c>
      <c r="E6" s="33">
        <f>$C$26*'E Balans VL '!I12/100/3.6*1000000</f>
        <v>6.8172788598170816E-3</v>
      </c>
      <c r="F6" s="33">
        <f>$C$26*('E Balans VL '!L12+'E Balans VL '!N12)/100/3.6*1000000</f>
        <v>163.44940684623305</v>
      </c>
      <c r="G6" s="34"/>
      <c r="H6" s="33"/>
      <c r="I6" s="33"/>
      <c r="J6" s="33">
        <f>$C$26*('E Balans VL '!D12+'E Balans VL '!E12)/100/3.6*1000000</f>
        <v>0</v>
      </c>
      <c r="K6" s="33"/>
      <c r="L6" s="33"/>
      <c r="M6" s="33"/>
      <c r="N6" s="33">
        <f>$C$26*'E Balans VL '!Y12/100/3.6*1000000</f>
        <v>1.0402141714599564</v>
      </c>
      <c r="O6" s="33"/>
      <c r="P6" s="33"/>
      <c r="R6" s="32"/>
    </row>
    <row r="7" spans="1:18">
      <c r="A7" s="32" t="s">
        <v>53</v>
      </c>
      <c r="B7" s="37">
        <f t="shared" ref="B7:B12" si="0">B27</f>
        <v>388.05237061871401</v>
      </c>
      <c r="C7" s="33"/>
      <c r="D7" s="37">
        <f>IF(ISERROR(TER_horeca_gas_kWh/1000),0,TER_horeca_gas_kWh/1000)*0.902</f>
        <v>621.7184016841461</v>
      </c>
      <c r="E7" s="33">
        <f>$C$27*'E Balans VL '!I9/100/3.6*1000000</f>
        <v>5.5568453100741566</v>
      </c>
      <c r="F7" s="33">
        <f>$C$27*('E Balans VL '!L9+'E Balans VL '!N9)/100/3.6*1000000</f>
        <v>49.140228580583937</v>
      </c>
      <c r="G7" s="34"/>
      <c r="H7" s="33"/>
      <c r="I7" s="33"/>
      <c r="J7" s="33">
        <f>$C$27*('E Balans VL '!D9+'E Balans VL '!E9)/100/3.6*1000000</f>
        <v>0</v>
      </c>
      <c r="K7" s="33"/>
      <c r="L7" s="33"/>
      <c r="M7" s="33"/>
      <c r="N7" s="33">
        <f>$C$27*'E Balans VL '!Y9/100/3.6*1000000</f>
        <v>0.1115565007325369</v>
      </c>
      <c r="O7" s="33"/>
      <c r="P7" s="33"/>
      <c r="R7" s="32"/>
    </row>
    <row r="8" spans="1:18">
      <c r="A8" s="6" t="s">
        <v>52</v>
      </c>
      <c r="B8" s="37">
        <f t="shared" si="0"/>
        <v>880.51873150122503</v>
      </c>
      <c r="C8" s="33"/>
      <c r="D8" s="37">
        <f>IF(ISERROR(TER_handel_gas_kWh/1000),0,TER_handel_gas_kWh/1000)*0.902</f>
        <v>131.09500601664507</v>
      </c>
      <c r="E8" s="33">
        <f>$C$28*'E Balans VL '!I13/100/3.6*1000000</f>
        <v>31.936305810844043</v>
      </c>
      <c r="F8" s="33">
        <f>$C$28*('E Balans VL '!L13+'E Balans VL '!N13)/100/3.6*1000000</f>
        <v>169.59682350614241</v>
      </c>
      <c r="G8" s="34"/>
      <c r="H8" s="33"/>
      <c r="I8" s="33"/>
      <c r="J8" s="33">
        <f>$C$28*('E Balans VL '!D13+'E Balans VL '!E13)/100/3.6*1000000</f>
        <v>0</v>
      </c>
      <c r="K8" s="33"/>
      <c r="L8" s="33"/>
      <c r="M8" s="33"/>
      <c r="N8" s="33">
        <f>$C$28*'E Balans VL '!Y13/100/3.6*1000000</f>
        <v>1.2197210414537005</v>
      </c>
      <c r="O8" s="33"/>
      <c r="P8" s="33"/>
      <c r="R8" s="32"/>
    </row>
    <row r="9" spans="1:18">
      <c r="A9" s="32" t="s">
        <v>51</v>
      </c>
      <c r="B9" s="37">
        <f t="shared" si="0"/>
        <v>103.15062943208601</v>
      </c>
      <c r="C9" s="33"/>
      <c r="D9" s="37">
        <f>IF(ISERROR(TER_gezond_gas_kWh/1000),0,TER_gezond_gas_kWh/1000)*0.902</f>
        <v>283.32338188113312</v>
      </c>
      <c r="E9" s="33">
        <f>$C$29*'E Balans VL '!I10/100/3.6*1000000</f>
        <v>6.4582478309244832E-3</v>
      </c>
      <c r="F9" s="33">
        <f>$C$29*('E Balans VL '!L10+'E Balans VL '!N10)/100/3.6*1000000</f>
        <v>15.323340065893145</v>
      </c>
      <c r="G9" s="34"/>
      <c r="H9" s="33"/>
      <c r="I9" s="33"/>
      <c r="J9" s="33">
        <f>$C$29*('E Balans VL '!D10+'E Balans VL '!E10)/100/3.6*1000000</f>
        <v>0</v>
      </c>
      <c r="K9" s="33"/>
      <c r="L9" s="33"/>
      <c r="M9" s="33"/>
      <c r="N9" s="33">
        <f>$C$29*'E Balans VL '!Y10/100/3.6*1000000</f>
        <v>1.5955438892404468</v>
      </c>
      <c r="O9" s="33"/>
      <c r="P9" s="33"/>
      <c r="R9" s="32"/>
    </row>
    <row r="10" spans="1:18">
      <c r="A10" s="32" t="s">
        <v>50</v>
      </c>
      <c r="B10" s="37">
        <f t="shared" si="0"/>
        <v>382.83783280484795</v>
      </c>
      <c r="C10" s="33"/>
      <c r="D10" s="37">
        <f>IF(ISERROR(TER_ander_gas_kWh/1000),0,TER_ander_gas_kWh/1000)*0.902</f>
        <v>165.32457103167678</v>
      </c>
      <c r="E10" s="33">
        <f>$C$30*'E Balans VL '!I14/100/3.6*1000000</f>
        <v>0.45632901639080109</v>
      </c>
      <c r="F10" s="33">
        <f>$C$30*('E Balans VL '!L14+'E Balans VL '!N14)/100/3.6*1000000</f>
        <v>100.16739669501926</v>
      </c>
      <c r="G10" s="34"/>
      <c r="H10" s="33"/>
      <c r="I10" s="33"/>
      <c r="J10" s="33">
        <f>$C$30*('E Balans VL '!D14+'E Balans VL '!E14)/100/3.6*1000000</f>
        <v>8.3099086673254496E-3</v>
      </c>
      <c r="K10" s="33"/>
      <c r="L10" s="33"/>
      <c r="M10" s="33"/>
      <c r="N10" s="33">
        <f>$C$30*'E Balans VL '!Y14/100/3.6*1000000</f>
        <v>325.09651970797086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903.43731501590105</v>
      </c>
      <c r="C12" s="33"/>
      <c r="D12" s="37">
        <f>IF(ISERROR(TER_rest_gas_kWh/1000),0,TER_rest_gas_kWh/1000)*0.902</f>
        <v>2307.8250754529527</v>
      </c>
      <c r="E12" s="33">
        <f>$C$32*'E Balans VL '!I8/100/3.6*1000000</f>
        <v>11.218868644131398</v>
      </c>
      <c r="F12" s="33">
        <f>$C$32*('E Balans VL '!L8+'E Balans VL '!N8)/100/3.6*1000000</f>
        <v>156.2266242100018</v>
      </c>
      <c r="G12" s="34"/>
      <c r="H12" s="33"/>
      <c r="I12" s="33"/>
      <c r="J12" s="33">
        <f>$C$32*('E Balans VL '!D8+'E Balans VL '!E8)/100/3.6*1000000</f>
        <v>2.187696257923187E-3</v>
      </c>
      <c r="K12" s="33"/>
      <c r="L12" s="33"/>
      <c r="M12" s="33"/>
      <c r="N12" s="33">
        <f>$C$32*'E Balans VL '!Y8/100/3.6*1000000</f>
        <v>87.480426605037053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3745.6868314831236</v>
      </c>
      <c r="C16" s="21">
        <f t="shared" ca="1" si="1"/>
        <v>0</v>
      </c>
      <c r="D16" s="21">
        <f t="shared" ca="1" si="1"/>
        <v>5579.277400850915</v>
      </c>
      <c r="E16" s="21">
        <f t="shared" si="1"/>
        <v>49.181624308131148</v>
      </c>
      <c r="F16" s="21">
        <f t="shared" ca="1" si="1"/>
        <v>653.90381990387357</v>
      </c>
      <c r="G16" s="21">
        <f t="shared" si="1"/>
        <v>0</v>
      </c>
      <c r="H16" s="21">
        <f t="shared" si="1"/>
        <v>0</v>
      </c>
      <c r="I16" s="21">
        <f t="shared" si="1"/>
        <v>0</v>
      </c>
      <c r="J16" s="21">
        <f t="shared" si="1"/>
        <v>1.0497604925248637E-2</v>
      </c>
      <c r="K16" s="21">
        <f t="shared" si="1"/>
        <v>0</v>
      </c>
      <c r="L16" s="21">
        <f t="shared" ca="1" si="1"/>
        <v>0</v>
      </c>
      <c r="M16" s="21">
        <f t="shared" si="1"/>
        <v>0</v>
      </c>
      <c r="N16" s="21">
        <f t="shared" ca="1" si="1"/>
        <v>416.54398191589456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0.12910067640651116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483.57070355143281</v>
      </c>
      <c r="C20" s="23">
        <f t="shared" ref="C20:P20" ca="1" si="2">C16*C18</f>
        <v>0</v>
      </c>
      <c r="D20" s="23">
        <f t="shared" ca="1" si="2"/>
        <v>1127.0140349718849</v>
      </c>
      <c r="E20" s="23">
        <f t="shared" si="2"/>
        <v>11.164228717945772</v>
      </c>
      <c r="F20" s="23">
        <f t="shared" ca="1" si="2"/>
        <v>174.59231991433424</v>
      </c>
      <c r="G20" s="23">
        <f t="shared" si="2"/>
        <v>0</v>
      </c>
      <c r="H20" s="23">
        <f t="shared" si="2"/>
        <v>0</v>
      </c>
      <c r="I20" s="23">
        <f t="shared" si="2"/>
        <v>0</v>
      </c>
      <c r="J20" s="23">
        <f t="shared" si="2"/>
        <v>3.7161521435380173E-3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1087.6899521103499</v>
      </c>
      <c r="C26" s="39">
        <f>IF(ISERROR(B26*3.6/1000000/'E Balans VL '!Z12*100),0,B26*3.6/1000000/'E Balans VL '!Z12*100)</f>
        <v>2.2992042547549971E-2</v>
      </c>
      <c r="D26" s="237" t="s">
        <v>754</v>
      </c>
      <c r="F26" s="6"/>
    </row>
    <row r="27" spans="1:18">
      <c r="A27" s="231" t="s">
        <v>53</v>
      </c>
      <c r="B27" s="33">
        <f>IF(ISERROR(TER_horeca_ele_kWh/1000),0,TER_horeca_ele_kWh/1000)</f>
        <v>388.05237061871401</v>
      </c>
      <c r="C27" s="39">
        <f>IF(ISERROR(B27*3.6/1000000/'E Balans VL '!Z9*100),0,B27*3.6/1000000/'E Balans VL '!Z9*100)</f>
        <v>3.0590023741370837E-2</v>
      </c>
      <c r="D27" s="237" t="s">
        <v>754</v>
      </c>
      <c r="F27" s="6"/>
    </row>
    <row r="28" spans="1:18">
      <c r="A28" s="171" t="s">
        <v>52</v>
      </c>
      <c r="B28" s="33">
        <f>IF(ISERROR(TER_handel_ele_kWh/1000),0,TER_handel_ele_kWh/1000)</f>
        <v>880.51873150122503</v>
      </c>
      <c r="C28" s="39">
        <f>IF(ISERROR(B28*3.6/1000000/'E Balans VL '!Z13*100),0,B28*3.6/1000000/'E Balans VL '!Z13*100)</f>
        <v>2.555621128250218E-2</v>
      </c>
      <c r="D28" s="237" t="s">
        <v>754</v>
      </c>
      <c r="F28" s="6"/>
    </row>
    <row r="29" spans="1:18">
      <c r="A29" s="231" t="s">
        <v>51</v>
      </c>
      <c r="B29" s="33">
        <f>IF(ISERROR(TER_gezond_ele_kWh/1000),0,TER_gezond_ele_kWh/1000)</f>
        <v>103.15062943208601</v>
      </c>
      <c r="C29" s="39">
        <f>IF(ISERROR(B29*3.6/1000000/'E Balans VL '!Z10*100),0,B29*3.6/1000000/'E Balans VL '!Z10*100)</f>
        <v>1.0863455057243124E-2</v>
      </c>
      <c r="D29" s="237" t="s">
        <v>754</v>
      </c>
      <c r="F29" s="6"/>
    </row>
    <row r="30" spans="1:18">
      <c r="A30" s="231" t="s">
        <v>50</v>
      </c>
      <c r="B30" s="33">
        <f>IF(ISERROR(TER_ander_ele_kWh/1000),0,TER_ander_ele_kWh/1000)</f>
        <v>382.83783280484795</v>
      </c>
      <c r="C30" s="39">
        <f>IF(ISERROR(B30*3.6/1000000/'E Balans VL '!Z14*100),0,B30*3.6/1000000/'E Balans VL '!Z14*100)</f>
        <v>2.8238201699649246E-2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903.43731501590105</v>
      </c>
      <c r="C32" s="39">
        <f>IF(ISERROR(B32*3.6/1000000/'E Balans VL '!Z8*100),0,B32*3.6/1000000/'E Balans VL '!Z8*100)</f>
        <v>7.4340899114461248E-3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844.99926866036105</v>
      </c>
      <c r="C5" s="17">
        <f>IF(ISERROR('Eigen informatie GS &amp; warmtenet'!B59),0,'Eigen informatie GS &amp; warmtenet'!B59)</f>
        <v>0</v>
      </c>
      <c r="D5" s="30">
        <f>SUM(D6:D15)</f>
        <v>562.44449580919934</v>
      </c>
      <c r="E5" s="17">
        <f>SUM(E6:E15)</f>
        <v>141.6641499138295</v>
      </c>
      <c r="F5" s="17">
        <f>SUM(F6:F15)</f>
        <v>410.8385689151321</v>
      </c>
      <c r="G5" s="18"/>
      <c r="H5" s="17"/>
      <c r="I5" s="17"/>
      <c r="J5" s="17">
        <f>SUM(J6:J15)</f>
        <v>0.5597905999421926</v>
      </c>
      <c r="K5" s="17"/>
      <c r="L5" s="17"/>
      <c r="M5" s="17"/>
      <c r="N5" s="17">
        <f>SUM(N6:N15)</f>
        <v>198.18172988388727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47.988</v>
      </c>
      <c r="C8" s="33"/>
      <c r="D8" s="37">
        <f>IF( ISERROR(IND_metaal_Gas_kWH/1000),0,IND_metaal_Gas_kWH/1000)*0.902</f>
        <v>0</v>
      </c>
      <c r="E8" s="33">
        <f>C30*'E Balans VL '!I18/100/3.6*1000000</f>
        <v>0.44120331274883634</v>
      </c>
      <c r="F8" s="33">
        <f>C30*'E Balans VL '!L18/100/3.6*1000000+C30*'E Balans VL '!N18/100/3.6*1000000</f>
        <v>4.4996767177552774</v>
      </c>
      <c r="G8" s="34"/>
      <c r="H8" s="33"/>
      <c r="I8" s="33"/>
      <c r="J8" s="40">
        <f>C30*'E Balans VL '!D18/100/3.6*1000000+C30*'E Balans VL '!E18/100/3.6*1000000</f>
        <v>0</v>
      </c>
      <c r="K8" s="33"/>
      <c r="L8" s="33"/>
      <c r="M8" s="33"/>
      <c r="N8" s="33">
        <f>C30*'E Balans VL '!Y18/100/3.6*1000000</f>
        <v>0.68462812350955382</v>
      </c>
      <c r="O8" s="33"/>
      <c r="P8" s="33"/>
      <c r="R8" s="32"/>
    </row>
    <row r="9" spans="1:18">
      <c r="A9" s="6" t="s">
        <v>33</v>
      </c>
      <c r="B9" s="37">
        <f t="shared" si="0"/>
        <v>452.21199052330701</v>
      </c>
      <c r="C9" s="33"/>
      <c r="D9" s="37">
        <f>IF( ISERROR(IND_andere_gas_kWh/1000),0,IND_andere_gas_kWh/1000)*0.902</f>
        <v>64.801792501021453</v>
      </c>
      <c r="E9" s="33">
        <f>C31*'E Balans VL '!I19/100/3.6*1000000</f>
        <v>132.19036835904788</v>
      </c>
      <c r="F9" s="33">
        <f>C31*'E Balans VL '!L19/100/3.6*1000000+C31*'E Balans VL '!N19/100/3.6*1000000</f>
        <v>363.38656368796876</v>
      </c>
      <c r="G9" s="34"/>
      <c r="H9" s="33"/>
      <c r="I9" s="33"/>
      <c r="J9" s="40">
        <f>C31*'E Balans VL '!D19/100/3.6*1000000+C31*'E Balans VL '!E19/100/3.6*1000000</f>
        <v>0</v>
      </c>
      <c r="K9" s="33"/>
      <c r="L9" s="33"/>
      <c r="M9" s="33"/>
      <c r="N9" s="33">
        <f>C31*'E Balans VL '!Y19/100/3.6*1000000</f>
        <v>149.41785497962951</v>
      </c>
      <c r="O9" s="33"/>
      <c r="P9" s="33"/>
      <c r="R9" s="32"/>
    </row>
    <row r="10" spans="1:18">
      <c r="A10" s="6" t="s">
        <v>41</v>
      </c>
      <c r="B10" s="37">
        <f t="shared" si="0"/>
        <v>188.43235820483699</v>
      </c>
      <c r="C10" s="33"/>
      <c r="D10" s="37">
        <f>IF( ISERROR(IND_voed_gas_kWh/1000),0,IND_voed_gas_kWh/1000)*0.902</f>
        <v>143.14544123279606</v>
      </c>
      <c r="E10" s="33">
        <f>C32*'E Balans VL '!I20/100/3.6*1000000</f>
        <v>0.39863157546065059</v>
      </c>
      <c r="F10" s="33">
        <f>C32*'E Balans VL '!L20/100/3.6*1000000+C32*'E Balans VL '!N20/100/3.6*1000000</f>
        <v>11.98072181267311</v>
      </c>
      <c r="G10" s="34"/>
      <c r="H10" s="33"/>
      <c r="I10" s="33"/>
      <c r="J10" s="40">
        <f>C32*'E Balans VL '!D20/100/3.6*1000000+C32*'E Balans VL '!E20/100/3.6*1000000</f>
        <v>0</v>
      </c>
      <c r="K10" s="33"/>
      <c r="L10" s="33"/>
      <c r="M10" s="33"/>
      <c r="N10" s="33">
        <f>C32*'E Balans VL '!Y20/100/3.6*1000000</f>
        <v>13.003692212080525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156.366919932217</v>
      </c>
      <c r="C15" s="33"/>
      <c r="D15" s="37">
        <f>IF( ISERROR(IND_rest_gas_kWh/1000),0,IND_rest_gas_kWh/1000)*0.902</f>
        <v>354.4972620753818</v>
      </c>
      <c r="E15" s="33">
        <f>C37*'E Balans VL '!I15/100/3.6*1000000</f>
        <v>8.6339466665721467</v>
      </c>
      <c r="F15" s="33">
        <f>C37*'E Balans VL '!L15/100/3.6*1000000+C37*'E Balans VL '!N15/100/3.6*1000000</f>
        <v>30.971606696734973</v>
      </c>
      <c r="G15" s="34"/>
      <c r="H15" s="33"/>
      <c r="I15" s="33"/>
      <c r="J15" s="40">
        <f>C37*'E Balans VL '!D15/100/3.6*1000000+C37*'E Balans VL '!E15/100/3.6*1000000</f>
        <v>0.5597905999421926</v>
      </c>
      <c r="K15" s="33"/>
      <c r="L15" s="33"/>
      <c r="M15" s="33"/>
      <c r="N15" s="33">
        <f>C37*'E Balans VL '!Y15/100/3.6*1000000</f>
        <v>35.075554568667677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844.99926866036105</v>
      </c>
      <c r="C18" s="21">
        <f>C5+C16</f>
        <v>0</v>
      </c>
      <c r="D18" s="21">
        <f>MAX((D5+D16),0)</f>
        <v>562.44449580919934</v>
      </c>
      <c r="E18" s="21">
        <f>MAX((E5+E16),0)</f>
        <v>141.6641499138295</v>
      </c>
      <c r="F18" s="21">
        <f>MAX((F5+F16),0)</f>
        <v>410.8385689151321</v>
      </c>
      <c r="G18" s="21"/>
      <c r="H18" s="21"/>
      <c r="I18" s="21"/>
      <c r="J18" s="21">
        <f>MAX((J5+J16),0)</f>
        <v>0.5597905999421926</v>
      </c>
      <c r="K18" s="21"/>
      <c r="L18" s="21">
        <f>MAX((L5+L16),0)</f>
        <v>0</v>
      </c>
      <c r="M18" s="21"/>
      <c r="N18" s="21">
        <f>MAX((N5+N16),0)</f>
        <v>198.18172988388727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0.12910067640651116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109.08997714705986</v>
      </c>
      <c r="C22" s="23">
        <f ca="1">C18*C20</f>
        <v>0</v>
      </c>
      <c r="D22" s="23">
        <f>D18*D20</f>
        <v>113.61378815345827</v>
      </c>
      <c r="E22" s="23">
        <f>E18*E20</f>
        <v>32.157762030439301</v>
      </c>
      <c r="F22" s="23">
        <f>F18*F20</f>
        <v>109.69389790034027</v>
      </c>
      <c r="G22" s="23"/>
      <c r="H22" s="23"/>
      <c r="I22" s="23"/>
      <c r="J22" s="23">
        <f>J18*J20</f>
        <v>0.19816587237953617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47.988</v>
      </c>
      <c r="C30" s="39">
        <f>IF(ISERROR(B30*3.6/1000000/'E Balans VL '!Z18*100),0,B30*3.6/1000000/'E Balans VL '!Z18*100)</f>
        <v>2.7196030092800183E-3</v>
      </c>
      <c r="D30" s="237" t="s">
        <v>754</v>
      </c>
    </row>
    <row r="31" spans="1:18">
      <c r="A31" s="6" t="s">
        <v>33</v>
      </c>
      <c r="B31" s="37">
        <f>IF( ISERROR(IND_ander_ele_kWh/1000),0,IND_ander_ele_kWh/1000)</f>
        <v>452.21199052330701</v>
      </c>
      <c r="C31" s="39">
        <f>IF(ISERROR(B31*3.6/1000000/'E Balans VL '!Z19*100),0,B31*3.6/1000000/'E Balans VL '!Z19*100)</f>
        <v>2.0510452912181322E-2</v>
      </c>
      <c r="D31" s="237" t="s">
        <v>754</v>
      </c>
    </row>
    <row r="32" spans="1:18">
      <c r="A32" s="171" t="s">
        <v>41</v>
      </c>
      <c r="B32" s="37">
        <f>IF( ISERROR(IND_voed_ele_kWh/1000),0,IND_voed_ele_kWh/1000)</f>
        <v>188.43235820483699</v>
      </c>
      <c r="C32" s="39">
        <f>IF(ISERROR(B32*3.6/1000000/'E Balans VL '!Z20*100),0,B32*3.6/1000000/'E Balans VL '!Z20*100)</f>
        <v>5.8290682499548352E-3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156.366919932217</v>
      </c>
      <c r="C37" s="39">
        <f>IF(ISERROR(B37*3.6/1000000/'E Balans VL '!Z15*100),0,B37*3.6/1000000/'E Balans VL '!Z15*100)</f>
        <v>1.2393998773041245E-3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384.3944531727002</v>
      </c>
      <c r="C5" s="17">
        <f>'Eigen informatie GS &amp; warmtenet'!B60</f>
        <v>0</v>
      </c>
      <c r="D5" s="30">
        <f>IF(ISERROR(SUM(LB_lb_gas_kWh,LB_rest_gas_kWh,onbekend_gas_kWh)/1000),0,SUM(LB_lb_gas_kWh,LB_rest_gas_kWh,onbekend_gas_kWh)/1000)*0.902</f>
        <v>1207.8617891614269</v>
      </c>
      <c r="E5" s="17">
        <f>B17*'E Balans VL '!I25/3.6*1000000/100</f>
        <v>11.29852705491928</v>
      </c>
      <c r="F5" s="17">
        <f>B17*('E Balans VL '!L25/3.6*1000000+'E Balans VL '!N25/3.6*1000000)/100</f>
        <v>1601.3665203314713</v>
      </c>
      <c r="G5" s="18"/>
      <c r="H5" s="17"/>
      <c r="I5" s="17"/>
      <c r="J5" s="17">
        <f>('E Balans VL '!D25+'E Balans VL '!E25)/3.6*1000000*landbouw!B17/100</f>
        <v>55.690501299348711</v>
      </c>
      <c r="K5" s="17"/>
      <c r="L5" s="17">
        <f>L6*(-1)</f>
        <v>0</v>
      </c>
      <c r="M5" s="17"/>
      <c r="N5" s="17">
        <f>N6*(-1)</f>
        <v>16071.428571428572</v>
      </c>
      <c r="O5" s="17"/>
      <c r="P5" s="17"/>
      <c r="R5" s="32"/>
    </row>
    <row r="6" spans="1:18">
      <c r="A6" s="16" t="s">
        <v>488</v>
      </c>
      <c r="B6" s="17" t="s">
        <v>211</v>
      </c>
      <c r="C6" s="17">
        <f>'lokale energieproductie'!O91+'lokale energieproductie'!O60</f>
        <v>8035.7142857142862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384.3944531727002</v>
      </c>
      <c r="C8" s="21">
        <f>C5+C6</f>
        <v>8035.7142857142862</v>
      </c>
      <c r="D8" s="21">
        <f>MAX((D5+D6),0)</f>
        <v>1207.8617891614269</v>
      </c>
      <c r="E8" s="21">
        <f>MAX((E5+E6),0)</f>
        <v>11.29852705491928</v>
      </c>
      <c r="F8" s="21">
        <f>MAX((F5+F6),0)</f>
        <v>1601.3665203314713</v>
      </c>
      <c r="G8" s="21"/>
      <c r="H8" s="21"/>
      <c r="I8" s="21"/>
      <c r="J8" s="21">
        <f>MAX((J5+J6),0)</f>
        <v>55.690501299348711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0.12910067640651116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49.625583911506574</v>
      </c>
      <c r="C12" s="23">
        <f ca="1">C8*C10</f>
        <v>0</v>
      </c>
      <c r="D12" s="23">
        <f>D8*D10</f>
        <v>243.98808141060826</v>
      </c>
      <c r="E12" s="23">
        <f>E8*E10</f>
        <v>2.5647656414666766</v>
      </c>
      <c r="F12" s="23">
        <f>F8*F10</f>
        <v>427.56486092850287</v>
      </c>
      <c r="G12" s="23"/>
      <c r="H12" s="23"/>
      <c r="I12" s="23"/>
      <c r="J12" s="23">
        <f>J8*J10</f>
        <v>19.714437459969442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5.4546778906023705E-2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147.03778065987771</v>
      </c>
      <c r="C26" s="247">
        <f>B26*'GWP N2O_CH4'!B5</f>
        <v>3087.793393857432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33.888424853474845</v>
      </c>
      <c r="C27" s="247">
        <f>B27*'GWP N2O_CH4'!B5</f>
        <v>711.65692192297172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2.8969547280996988</v>
      </c>
      <c r="C28" s="247">
        <f>B28*'GWP N2O_CH4'!B4</f>
        <v>898.05596571090666</v>
      </c>
      <c r="D28" s="50"/>
    </row>
    <row r="29" spans="1:4">
      <c r="A29" s="41" t="s">
        <v>277</v>
      </c>
      <c r="B29" s="247">
        <f>B34*'ha_N2O bodem landbouw'!B4</f>
        <v>12.158862031523975</v>
      </c>
      <c r="C29" s="247">
        <f>B29*'GWP N2O_CH4'!B4</f>
        <v>3769.2472297724325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2.7746104142911442E-3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1.7581172001212794E-4</v>
      </c>
      <c r="C5" s="463" t="s">
        <v>211</v>
      </c>
      <c r="D5" s="448">
        <f>SUM(D6:D11)</f>
        <v>5.8088713518471497E-4</v>
      </c>
      <c r="E5" s="448">
        <f>SUM(E6:E11)</f>
        <v>9.1072715418712808E-4</v>
      </c>
      <c r="F5" s="461" t="s">
        <v>211</v>
      </c>
      <c r="G5" s="448">
        <f>SUM(G6:G11)</f>
        <v>0.3279634398227409</v>
      </c>
      <c r="H5" s="448">
        <f>SUM(H6:H11)</f>
        <v>6.7599783722200962E-2</v>
      </c>
      <c r="I5" s="463" t="s">
        <v>211</v>
      </c>
      <c r="J5" s="463" t="s">
        <v>211</v>
      </c>
      <c r="K5" s="463" t="s">
        <v>211</v>
      </c>
      <c r="L5" s="463" t="s">
        <v>211</v>
      </c>
      <c r="M5" s="448">
        <f>SUM(M6:M11)</f>
        <v>2.1167827958278932E-2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4.0424066048754402E-5</v>
      </c>
      <c r="C6" s="449"/>
      <c r="D6" s="962">
        <f>vkm_2011_GW_PW*SUMIFS(TableVerdeelsleutelVkm[CNG],TableVerdeelsleutelVkm[Voertuigtype],"Lichte voertuigen")*SUMIFS(TableECFTransport[EnergieConsumptieFactor (PJ per km)],TableECFTransport[Index],CONCATENATE($A6,"_CNG_CNG"))</f>
        <v>1.2124899684276469E-4</v>
      </c>
      <c r="E6" s="962">
        <f>vkm_2011_GW_PW*SUMIFS(TableVerdeelsleutelVkm[LPG],TableVerdeelsleutelVkm[Voertuigtype],"Lichte voertuigen")*SUMIFS(TableECFTransport[EnergieConsumptieFactor (PJ per km)],TableECFTransport[Index],CONCATENATE($A6,"_LPG_LPG"))</f>
        <v>1.6564354624728567E-4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4.2827827841369091E-2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1.3788266158309588E-2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2.9114293730828234E-3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2.3312796975471065E-2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7.1040240436902651E-6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1.3623224450899853E-3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1.5876014168193201E-5</v>
      </c>
      <c r="C8" s="449"/>
      <c r="D8" s="451">
        <f>vkm_2011_NGW_PW*SUMIFS(TableVerdeelsleutelVkm[CNG],TableVerdeelsleutelVkm[Voertuigtype],"Lichte voertuigen")*SUMIFS(TableECFTransport[EnergieConsumptieFactor (PJ per km)],TableECFTransport[Index],CONCATENATE($A8,"_CNG_CNG"))</f>
        <v>8.4666991875659127E-5</v>
      </c>
      <c r="E8" s="451">
        <f>vkm_2011_NGW_PW*SUMIFS(TableVerdeelsleutelVkm[LPG],TableVerdeelsleutelVkm[Voertuigtype],"Lichte voertuigen")*SUMIFS(TableECFTransport[EnergieConsumptieFactor (PJ per km)],TableECFTransport[Index],CONCATENATE($A8,"_LPG_LPG"))</f>
        <v>1.0712101974347452E-4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2.5810286871003785E-2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9.356512990478091E-3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1.7856436663240619E-3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7.1540097177950615E-3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2.0522960943682224E-6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4.1805278355685609E-4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1.1951163979518034E-4</v>
      </c>
      <c r="C10" s="449"/>
      <c r="D10" s="451">
        <f>vkm_2011_SW_PW*SUMIFS(TableVerdeelsleutelVkm[CNG],TableVerdeelsleutelVkm[Voertuigtype],"Lichte voertuigen")*SUMIFS(TableECFTransport[EnergieConsumptieFactor (PJ per km)],TableECFTransport[Index],CONCATENATE($A10,"_CNG_CNG"))</f>
        <v>3.7497114646629112E-4</v>
      </c>
      <c r="E10" s="451">
        <f>vkm_2011_SW_PW*SUMIFS(TableVerdeelsleutelVkm[LPG],TableVerdeelsleutelVkm[Voertuigtype],"Lichte voertuigen")*SUMIFS(TableECFTransport[EnergieConsumptieFactor (PJ per km)],TableECFTransport[Index],CONCATENATE($A10,"_LPG_LPG"))</f>
        <v>6.3796258819636786E-4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0.14705182200955966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4.4418928044536253E-2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9.9098089016494209E-3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8.1806696407542207E-2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2.6920208738972772E-5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4.7805707885757867E-3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48.836588892257765</v>
      </c>
      <c r="C14" s="21"/>
      <c r="D14" s="21">
        <f t="shared" ref="D14:M14" si="0">((D5)*10^9/3600)+D12</f>
        <v>161.35753755130969</v>
      </c>
      <c r="E14" s="21">
        <f t="shared" si="0"/>
        <v>252.97976505198002</v>
      </c>
      <c r="F14" s="21"/>
      <c r="G14" s="21">
        <f t="shared" si="0"/>
        <v>91100.955506316925</v>
      </c>
      <c r="H14" s="21">
        <f t="shared" si="0"/>
        <v>18777.717700611378</v>
      </c>
      <c r="I14" s="21"/>
      <c r="J14" s="21"/>
      <c r="K14" s="21"/>
      <c r="L14" s="21"/>
      <c r="M14" s="21">
        <f t="shared" si="0"/>
        <v>5879.9522106330369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0.12910067640651116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6.3048366593771865</v>
      </c>
      <c r="C18" s="23"/>
      <c r="D18" s="23">
        <f t="shared" ref="D18:M18" si="1">D14*D16</f>
        <v>32.594222585364562</v>
      </c>
      <c r="E18" s="23">
        <f t="shared" si="1"/>
        <v>57.426406666799465</v>
      </c>
      <c r="F18" s="23"/>
      <c r="G18" s="23">
        <f t="shared" si="1"/>
        <v>24323.95512018662</v>
      </c>
      <c r="H18" s="23">
        <f t="shared" si="1"/>
        <v>4675.6517074522335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2.5599758015993636E-3</v>
      </c>
      <c r="H50" s="321">
        <f t="shared" si="2"/>
        <v>0</v>
      </c>
      <c r="I50" s="321">
        <f t="shared" si="2"/>
        <v>0</v>
      </c>
      <c r="J50" s="321">
        <f t="shared" si="2"/>
        <v>0</v>
      </c>
      <c r="K50" s="321">
        <f t="shared" si="2"/>
        <v>0</v>
      </c>
      <c r="L50" s="321">
        <f t="shared" si="2"/>
        <v>0</v>
      </c>
      <c r="M50" s="321">
        <f t="shared" si="2"/>
        <v>1.4539532432212505E-4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2.5599758015993636E-3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1.4539532432212505E-4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711.10438933315663</v>
      </c>
      <c r="H54" s="21">
        <f t="shared" si="3"/>
        <v>0</v>
      </c>
      <c r="I54" s="21">
        <f t="shared" si="3"/>
        <v>0</v>
      </c>
      <c r="J54" s="21">
        <f t="shared" si="3"/>
        <v>0</v>
      </c>
      <c r="K54" s="21">
        <f t="shared" si="3"/>
        <v>0</v>
      </c>
      <c r="L54" s="21">
        <f t="shared" si="3"/>
        <v>0</v>
      </c>
      <c r="M54" s="21">
        <f t="shared" si="3"/>
        <v>40.387590089479183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0.12910067640651116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189.86487195195284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2456.4525183591068</v>
      </c>
      <c r="C6" s="1204"/>
      <c r="D6" s="1189"/>
      <c r="E6" s="1189"/>
      <c r="F6" s="1207"/>
      <c r="G6" s="1210"/>
      <c r="H6" s="1201"/>
      <c r="I6" s="1189"/>
      <c r="J6" s="1189"/>
      <c r="K6" s="1189"/>
      <c r="L6" s="1193"/>
      <c r="M6" s="575"/>
      <c r="N6" s="1167"/>
      <c r="O6" s="1168"/>
      <c r="Q6" s="573"/>
      <c r="R6" s="1155"/>
      <c r="S6" s="1155"/>
    </row>
    <row r="7" spans="1:19" s="563" customFormat="1">
      <c r="A7" s="576" t="s">
        <v>252</v>
      </c>
      <c r="B7" s="577">
        <f>N57</f>
        <v>5625</v>
      </c>
      <c r="C7" s="578">
        <f>B100</f>
        <v>0</v>
      </c>
      <c r="D7" s="579"/>
      <c r="E7" s="579">
        <f>E100</f>
        <v>0</v>
      </c>
      <c r="F7" s="580"/>
      <c r="G7" s="581"/>
      <c r="H7" s="579">
        <f>I100</f>
        <v>0</v>
      </c>
      <c r="I7" s="579">
        <f>G100+F100</f>
        <v>0</v>
      </c>
      <c r="J7" s="579">
        <f>H100+D100+C100</f>
        <v>6617.6470588235297</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8081.4525183591068</v>
      </c>
      <c r="C9" s="594">
        <f t="shared" ref="C9:L9" si="0">SUM(C7:C8)</f>
        <v>0</v>
      </c>
      <c r="D9" s="594">
        <f t="shared" si="0"/>
        <v>0</v>
      </c>
      <c r="E9" s="594">
        <f t="shared" si="0"/>
        <v>0</v>
      </c>
      <c r="F9" s="594">
        <f t="shared" si="0"/>
        <v>0</v>
      </c>
      <c r="G9" s="594">
        <f t="shared" si="0"/>
        <v>0</v>
      </c>
      <c r="H9" s="594">
        <f t="shared" si="0"/>
        <v>0</v>
      </c>
      <c r="I9" s="594">
        <f t="shared" si="0"/>
        <v>0</v>
      </c>
      <c r="J9" s="594">
        <f t="shared" si="0"/>
        <v>6617.6470588235297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8035.7142857142862</v>
      </c>
      <c r="C16" s="610">
        <f>B101</f>
        <v>0</v>
      </c>
      <c r="D16" s="611"/>
      <c r="E16" s="611">
        <f>E101</f>
        <v>0</v>
      </c>
      <c r="F16" s="612"/>
      <c r="G16" s="613"/>
      <c r="H16" s="610">
        <f>I101</f>
        <v>0</v>
      </c>
      <c r="I16" s="611">
        <f>G101+F101</f>
        <v>0</v>
      </c>
      <c r="J16" s="611">
        <f>H101+D101+C101</f>
        <v>9453.7815126050427</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8035.7142857142862</v>
      </c>
      <c r="C19" s="593">
        <f>SUM(C16:C18)</f>
        <v>0</v>
      </c>
      <c r="D19" s="593">
        <f t="shared" ref="D19:M19" si="1">SUM(D16:D18)</f>
        <v>0</v>
      </c>
      <c r="E19" s="593">
        <f t="shared" si="1"/>
        <v>0</v>
      </c>
      <c r="F19" s="593">
        <f t="shared" si="1"/>
        <v>0</v>
      </c>
      <c r="G19" s="593">
        <f t="shared" si="1"/>
        <v>0</v>
      </c>
      <c r="H19" s="593">
        <f t="shared" si="1"/>
        <v>0</v>
      </c>
      <c r="I19" s="593">
        <f t="shared" si="1"/>
        <v>0</v>
      </c>
      <c r="J19" s="593">
        <f t="shared" si="1"/>
        <v>9453.7815126050427</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24016</v>
      </c>
      <c r="C27" s="851">
        <v>3370</v>
      </c>
      <c r="D27" s="672" t="s">
        <v>809</v>
      </c>
      <c r="E27" s="671" t="s">
        <v>810</v>
      </c>
      <c r="F27" s="671" t="s">
        <v>811</v>
      </c>
      <c r="G27" s="671" t="s">
        <v>812</v>
      </c>
      <c r="H27" s="671" t="s">
        <v>813</v>
      </c>
      <c r="I27" s="671" t="s">
        <v>814</v>
      </c>
      <c r="J27" s="850">
        <v>41886</v>
      </c>
      <c r="K27" s="850">
        <v>40168</v>
      </c>
      <c r="L27" s="671" t="s">
        <v>815</v>
      </c>
      <c r="M27" s="671">
        <v>1250</v>
      </c>
      <c r="N27" s="671">
        <v>5625</v>
      </c>
      <c r="O27" s="671">
        <v>8035.7142857142862</v>
      </c>
      <c r="P27" s="671">
        <v>0</v>
      </c>
      <c r="Q27" s="671">
        <v>16071.428571428572</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1250</v>
      </c>
      <c r="N57" s="629">
        <f>SUM(N27:N56)</f>
        <v>5625</v>
      </c>
      <c r="O57" s="629">
        <f t="shared" ref="O57:W57" si="2">SUM(O27:O56)</f>
        <v>8035.7142857142862</v>
      </c>
      <c r="P57" s="629">
        <f t="shared" si="2"/>
        <v>0</v>
      </c>
      <c r="Q57" s="629">
        <f t="shared" si="2"/>
        <v>16071.428571428572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1250</v>
      </c>
      <c r="N60" s="634">
        <f t="shared" ref="N60:W60" si="4">SUMIF($Z$27:$Z$56,"landbouw",N27:N56)</f>
        <v>5625</v>
      </c>
      <c r="O60" s="634">
        <f t="shared" si="4"/>
        <v>8035.7142857142862</v>
      </c>
      <c r="P60" s="634">
        <f t="shared" si="4"/>
        <v>0</v>
      </c>
      <c r="Q60" s="634">
        <f t="shared" si="4"/>
        <v>16071.428571428572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6617.6470588235297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9453.7815126050427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4164.5678314831239</v>
      </c>
      <c r="D10" s="718">
        <f ca="1">tertiair!C16</f>
        <v>0</v>
      </c>
      <c r="E10" s="718">
        <f ca="1">tertiair!D16</f>
        <v>5579.277400850915</v>
      </c>
      <c r="F10" s="718">
        <f>tertiair!E16</f>
        <v>49.181624308131148</v>
      </c>
      <c r="G10" s="718">
        <f ca="1">tertiair!F16</f>
        <v>653.90381990387357</v>
      </c>
      <c r="H10" s="718">
        <f>tertiair!G16</f>
        <v>0</v>
      </c>
      <c r="I10" s="718">
        <f>tertiair!H16</f>
        <v>0</v>
      </c>
      <c r="J10" s="718">
        <f>tertiair!I16</f>
        <v>0</v>
      </c>
      <c r="K10" s="718">
        <f>tertiair!J16</f>
        <v>1.0497604925248637E-2</v>
      </c>
      <c r="L10" s="718">
        <f>tertiair!K16</f>
        <v>0</v>
      </c>
      <c r="M10" s="718">
        <f ca="1">tertiair!L16</f>
        <v>0</v>
      </c>
      <c r="N10" s="718">
        <f>tertiair!M16</f>
        <v>0</v>
      </c>
      <c r="O10" s="718">
        <f ca="1">tertiair!N16</f>
        <v>416.54398191589456</v>
      </c>
      <c r="P10" s="718">
        <f>tertiair!O16</f>
        <v>0</v>
      </c>
      <c r="Q10" s="719">
        <f>tertiair!P16</f>
        <v>19.066666666666666</v>
      </c>
      <c r="R10" s="721">
        <f ca="1">SUM(C10:Q10)</f>
        <v>10882.551822733531</v>
      </c>
      <c r="S10" s="67"/>
    </row>
    <row r="11" spans="1:19" s="474" customFormat="1">
      <c r="A11" s="870" t="s">
        <v>225</v>
      </c>
      <c r="B11" s="875"/>
      <c r="C11" s="718">
        <f>huishoudens!B8</f>
        <v>13991.523425354248</v>
      </c>
      <c r="D11" s="718">
        <f>huishoudens!C8</f>
        <v>0</v>
      </c>
      <c r="E11" s="718">
        <f>huishoudens!D8</f>
        <v>29697.63756725673</v>
      </c>
      <c r="F11" s="718">
        <f>huishoudens!E8</f>
        <v>2906.2796531469176</v>
      </c>
      <c r="G11" s="718">
        <f>huishoudens!F8</f>
        <v>17795.608237362798</v>
      </c>
      <c r="H11" s="718">
        <f>huishoudens!G8</f>
        <v>0</v>
      </c>
      <c r="I11" s="718">
        <f>huishoudens!H8</f>
        <v>0</v>
      </c>
      <c r="J11" s="718">
        <f>huishoudens!I8</f>
        <v>0</v>
      </c>
      <c r="K11" s="718">
        <f>huishoudens!J8</f>
        <v>0</v>
      </c>
      <c r="L11" s="718">
        <f>huishoudens!K8</f>
        <v>0</v>
      </c>
      <c r="M11" s="718">
        <f>huishoudens!L8</f>
        <v>0</v>
      </c>
      <c r="N11" s="718">
        <f>huishoudens!M8</f>
        <v>0</v>
      </c>
      <c r="O11" s="718">
        <f>huishoudens!N8</f>
        <v>7043.1596699246666</v>
      </c>
      <c r="P11" s="718">
        <f>huishoudens!O8</f>
        <v>157.89666666666668</v>
      </c>
      <c r="Q11" s="719">
        <f>huishoudens!P8</f>
        <v>400.4</v>
      </c>
      <c r="R11" s="721">
        <f>SUM(C11:Q11)</f>
        <v>71992.505219712039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844.99926866036105</v>
      </c>
      <c r="D13" s="718">
        <f>industrie!C18</f>
        <v>0</v>
      </c>
      <c r="E13" s="718">
        <f>industrie!D18</f>
        <v>562.44449580919934</v>
      </c>
      <c r="F13" s="718">
        <f>industrie!E18</f>
        <v>141.6641499138295</v>
      </c>
      <c r="G13" s="718">
        <f>industrie!F18</f>
        <v>410.8385689151321</v>
      </c>
      <c r="H13" s="718">
        <f>industrie!G18</f>
        <v>0</v>
      </c>
      <c r="I13" s="718">
        <f>industrie!H18</f>
        <v>0</v>
      </c>
      <c r="J13" s="718">
        <f>industrie!I18</f>
        <v>0</v>
      </c>
      <c r="K13" s="718">
        <f>industrie!J18</f>
        <v>0.5597905999421926</v>
      </c>
      <c r="L13" s="718">
        <f>industrie!K18</f>
        <v>0</v>
      </c>
      <c r="M13" s="718">
        <f>industrie!L18</f>
        <v>0</v>
      </c>
      <c r="N13" s="718">
        <f>industrie!M18</f>
        <v>0</v>
      </c>
      <c r="O13" s="718">
        <f>industrie!N18</f>
        <v>198.18172988388727</v>
      </c>
      <c r="P13" s="718">
        <f>industrie!O18</f>
        <v>0</v>
      </c>
      <c r="Q13" s="719">
        <f>industrie!P18</f>
        <v>0</v>
      </c>
      <c r="R13" s="721">
        <f>SUM(C13:Q13)</f>
        <v>2158.6880037823516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19001.090525497733</v>
      </c>
      <c r="D15" s="723">
        <f t="shared" ref="D15:Q15" ca="1" si="0">SUM(D9:D14)</f>
        <v>0</v>
      </c>
      <c r="E15" s="723">
        <f t="shared" ca="1" si="0"/>
        <v>35839.359463916844</v>
      </c>
      <c r="F15" s="723">
        <f t="shared" si="0"/>
        <v>3097.1254273688783</v>
      </c>
      <c r="G15" s="723">
        <f t="shared" ca="1" si="0"/>
        <v>18860.350626181804</v>
      </c>
      <c r="H15" s="723">
        <f t="shared" si="0"/>
        <v>0</v>
      </c>
      <c r="I15" s="723">
        <f t="shared" si="0"/>
        <v>0</v>
      </c>
      <c r="J15" s="723">
        <f t="shared" si="0"/>
        <v>0</v>
      </c>
      <c r="K15" s="723">
        <f t="shared" si="0"/>
        <v>0.57028820486744125</v>
      </c>
      <c r="L15" s="723">
        <f t="shared" si="0"/>
        <v>0</v>
      </c>
      <c r="M15" s="723">
        <f t="shared" ca="1" si="0"/>
        <v>0</v>
      </c>
      <c r="N15" s="723">
        <f t="shared" si="0"/>
        <v>0</v>
      </c>
      <c r="O15" s="723">
        <f t="shared" ca="1" si="0"/>
        <v>7657.8853817244481</v>
      </c>
      <c r="P15" s="723">
        <f t="shared" si="0"/>
        <v>157.89666666666668</v>
      </c>
      <c r="Q15" s="724">
        <f t="shared" si="0"/>
        <v>419.46666666666664</v>
      </c>
      <c r="R15" s="725">
        <f ca="1">SUM(R9:R14)</f>
        <v>85033.745046227923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711.10438933315663</v>
      </c>
      <c r="I18" s="718">
        <f>transport!H54</f>
        <v>0</v>
      </c>
      <c r="J18" s="718">
        <f>transport!I54</f>
        <v>0</v>
      </c>
      <c r="K18" s="718">
        <f>transport!J54</f>
        <v>0</v>
      </c>
      <c r="L18" s="718">
        <f>transport!K54</f>
        <v>0</v>
      </c>
      <c r="M18" s="718">
        <f>transport!L54</f>
        <v>0</v>
      </c>
      <c r="N18" s="718">
        <f>transport!M54</f>
        <v>40.387590089479183</v>
      </c>
      <c r="O18" s="718">
        <f>transport!N54</f>
        <v>0</v>
      </c>
      <c r="P18" s="718">
        <f>transport!O54</f>
        <v>0</v>
      </c>
      <c r="Q18" s="719">
        <f>transport!P54</f>
        <v>0</v>
      </c>
      <c r="R18" s="721">
        <f>SUM(C18:Q18)</f>
        <v>751.49197942263584</v>
      </c>
      <c r="S18" s="67"/>
    </row>
    <row r="19" spans="1:19" s="474" customFormat="1" ht="15" thickBot="1">
      <c r="A19" s="870" t="s">
        <v>307</v>
      </c>
      <c r="B19" s="875"/>
      <c r="C19" s="727">
        <f>transport!B14</f>
        <v>48.836588892257765</v>
      </c>
      <c r="D19" s="727">
        <f>transport!C14</f>
        <v>0</v>
      </c>
      <c r="E19" s="727">
        <f>transport!D14</f>
        <v>161.35753755130969</v>
      </c>
      <c r="F19" s="727">
        <f>transport!E14</f>
        <v>252.97976505198002</v>
      </c>
      <c r="G19" s="727">
        <f>transport!F14</f>
        <v>0</v>
      </c>
      <c r="H19" s="727">
        <f>transport!G14</f>
        <v>91100.955506316925</v>
      </c>
      <c r="I19" s="727">
        <f>transport!H14</f>
        <v>18777.717700611378</v>
      </c>
      <c r="J19" s="727">
        <f>transport!I14</f>
        <v>0</v>
      </c>
      <c r="K19" s="727">
        <f>transport!J14</f>
        <v>0</v>
      </c>
      <c r="L19" s="727">
        <f>transport!K14</f>
        <v>0</v>
      </c>
      <c r="M19" s="727">
        <f>transport!L14</f>
        <v>0</v>
      </c>
      <c r="N19" s="727">
        <f>transport!M14</f>
        <v>5879.9522106330369</v>
      </c>
      <c r="O19" s="727">
        <f>transport!N14</f>
        <v>0</v>
      </c>
      <c r="P19" s="727">
        <f>transport!O14</f>
        <v>0</v>
      </c>
      <c r="Q19" s="728">
        <f>transport!P14</f>
        <v>0</v>
      </c>
      <c r="R19" s="729">
        <f>SUM(C19:Q19)</f>
        <v>116221.79930905689</v>
      </c>
      <c r="S19" s="67"/>
    </row>
    <row r="20" spans="1:19" s="474" customFormat="1" ht="15.75" thickBot="1">
      <c r="A20" s="730" t="s">
        <v>230</v>
      </c>
      <c r="B20" s="878"/>
      <c r="C20" s="873">
        <f>SUM(C17:C19)</f>
        <v>48.836588892257765</v>
      </c>
      <c r="D20" s="731">
        <f t="shared" ref="D20:R20" si="1">SUM(D17:D19)</f>
        <v>0</v>
      </c>
      <c r="E20" s="731">
        <f t="shared" si="1"/>
        <v>161.35753755130969</v>
      </c>
      <c r="F20" s="731">
        <f t="shared" si="1"/>
        <v>252.97976505198002</v>
      </c>
      <c r="G20" s="731">
        <f t="shared" si="1"/>
        <v>0</v>
      </c>
      <c r="H20" s="731">
        <f t="shared" si="1"/>
        <v>91812.059895650076</v>
      </c>
      <c r="I20" s="731">
        <f t="shared" si="1"/>
        <v>18777.717700611378</v>
      </c>
      <c r="J20" s="731">
        <f t="shared" si="1"/>
        <v>0</v>
      </c>
      <c r="K20" s="731">
        <f t="shared" si="1"/>
        <v>0</v>
      </c>
      <c r="L20" s="731">
        <f t="shared" si="1"/>
        <v>0</v>
      </c>
      <c r="M20" s="731">
        <f t="shared" si="1"/>
        <v>0</v>
      </c>
      <c r="N20" s="731">
        <f t="shared" si="1"/>
        <v>5920.339800722516</v>
      </c>
      <c r="O20" s="731">
        <f t="shared" si="1"/>
        <v>0</v>
      </c>
      <c r="P20" s="731">
        <f t="shared" si="1"/>
        <v>0</v>
      </c>
      <c r="Q20" s="732">
        <f t="shared" si="1"/>
        <v>0</v>
      </c>
      <c r="R20" s="733">
        <f t="shared" si="1"/>
        <v>116973.29128847952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384.3944531727002</v>
      </c>
      <c r="D22" s="727">
        <f>+landbouw!C8</f>
        <v>8035.7142857142862</v>
      </c>
      <c r="E22" s="727">
        <f>+landbouw!D8</f>
        <v>1207.8617891614269</v>
      </c>
      <c r="F22" s="727">
        <f>+landbouw!E8</f>
        <v>11.29852705491928</v>
      </c>
      <c r="G22" s="727">
        <f>+landbouw!F8</f>
        <v>1601.3665203314713</v>
      </c>
      <c r="H22" s="727">
        <f>+landbouw!G8</f>
        <v>0</v>
      </c>
      <c r="I22" s="727">
        <f>+landbouw!H8</f>
        <v>0</v>
      </c>
      <c r="J22" s="727">
        <f>+landbouw!I8</f>
        <v>0</v>
      </c>
      <c r="K22" s="727">
        <f>+landbouw!J8</f>
        <v>55.690501299348711</v>
      </c>
      <c r="L22" s="727">
        <f>+landbouw!K8</f>
        <v>0</v>
      </c>
      <c r="M22" s="727">
        <f>+landbouw!L8</f>
        <v>0</v>
      </c>
      <c r="N22" s="727">
        <f>+landbouw!M8</f>
        <v>0</v>
      </c>
      <c r="O22" s="727">
        <f>+landbouw!N8</f>
        <v>0</v>
      </c>
      <c r="P22" s="727">
        <f>+landbouw!O8</f>
        <v>0</v>
      </c>
      <c r="Q22" s="728">
        <f>+landbouw!P8</f>
        <v>0</v>
      </c>
      <c r="R22" s="729">
        <f>SUM(C22:Q22)</f>
        <v>11296.326076734153</v>
      </c>
      <c r="S22" s="67"/>
    </row>
    <row r="23" spans="1:19" s="474" customFormat="1" ht="17.25" thickTop="1" thickBot="1">
      <c r="A23" s="734" t="s">
        <v>116</v>
      </c>
      <c r="B23" s="864"/>
      <c r="C23" s="735">
        <f ca="1">C20+C15+C22</f>
        <v>19434.321567562689</v>
      </c>
      <c r="D23" s="735">
        <f t="shared" ref="D23:Q23" ca="1" si="2">D20+D15+D22</f>
        <v>8035.7142857142862</v>
      </c>
      <c r="E23" s="735">
        <f t="shared" ca="1" si="2"/>
        <v>37208.578790629581</v>
      </c>
      <c r="F23" s="735">
        <f t="shared" si="2"/>
        <v>3361.4037194757775</v>
      </c>
      <c r="G23" s="735">
        <f t="shared" ca="1" si="2"/>
        <v>20461.717146513274</v>
      </c>
      <c r="H23" s="735">
        <f t="shared" si="2"/>
        <v>91812.059895650076</v>
      </c>
      <c r="I23" s="735">
        <f t="shared" si="2"/>
        <v>18777.717700611378</v>
      </c>
      <c r="J23" s="735">
        <f t="shared" si="2"/>
        <v>0</v>
      </c>
      <c r="K23" s="735">
        <f t="shared" si="2"/>
        <v>56.260789504216149</v>
      </c>
      <c r="L23" s="735">
        <f t="shared" si="2"/>
        <v>0</v>
      </c>
      <c r="M23" s="735">
        <f t="shared" ca="1" si="2"/>
        <v>0</v>
      </c>
      <c r="N23" s="735">
        <f t="shared" si="2"/>
        <v>5920.339800722516</v>
      </c>
      <c r="O23" s="735">
        <f t="shared" ca="1" si="2"/>
        <v>7657.8853817244481</v>
      </c>
      <c r="P23" s="735">
        <f t="shared" si="2"/>
        <v>157.89666666666668</v>
      </c>
      <c r="Q23" s="736">
        <f t="shared" si="2"/>
        <v>419.46666666666664</v>
      </c>
      <c r="R23" s="737">
        <f ca="1">R20+R15+R22</f>
        <v>213303.3624114416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537.64852398526864</v>
      </c>
      <c r="D36" s="718">
        <f ca="1">tertiair!C20</f>
        <v>0</v>
      </c>
      <c r="E36" s="718">
        <f ca="1">tertiair!D20</f>
        <v>1127.0140349718849</v>
      </c>
      <c r="F36" s="718">
        <f>tertiair!E20</f>
        <v>11.164228717945772</v>
      </c>
      <c r="G36" s="718">
        <f ca="1">tertiair!F20</f>
        <v>174.59231991433424</v>
      </c>
      <c r="H36" s="718">
        <f>tertiair!G20</f>
        <v>0</v>
      </c>
      <c r="I36" s="718">
        <f>tertiair!H20</f>
        <v>0</v>
      </c>
      <c r="J36" s="718">
        <f>tertiair!I20</f>
        <v>0</v>
      </c>
      <c r="K36" s="718">
        <f>tertiair!J20</f>
        <v>3.7161521435380173E-3</v>
      </c>
      <c r="L36" s="718">
        <f>tertiair!K20</f>
        <v>0</v>
      </c>
      <c r="M36" s="718">
        <f ca="1">tertiair!L20</f>
        <v>0</v>
      </c>
      <c r="N36" s="718">
        <f>tertiair!M20</f>
        <v>0</v>
      </c>
      <c r="O36" s="718">
        <f ca="1">tertiair!N20</f>
        <v>0</v>
      </c>
      <c r="P36" s="718">
        <f>tertiair!O20</f>
        <v>0</v>
      </c>
      <c r="Q36" s="828">
        <f>tertiair!P20</f>
        <v>0</v>
      </c>
      <c r="R36" s="917">
        <f ca="1">SUM(C36:Q36)</f>
        <v>1850.4228237415771</v>
      </c>
    </row>
    <row r="37" spans="1:18">
      <c r="A37" s="885" t="s">
        <v>225</v>
      </c>
      <c r="B37" s="892"/>
      <c r="C37" s="718">
        <f ca="1">huishoudens!B12</f>
        <v>1806.3151381707792</v>
      </c>
      <c r="D37" s="718">
        <f ca="1">huishoudens!C12</f>
        <v>0</v>
      </c>
      <c r="E37" s="718">
        <f>huishoudens!D12</f>
        <v>5998.92278858586</v>
      </c>
      <c r="F37" s="718">
        <f>huishoudens!E12</f>
        <v>659.72548126435026</v>
      </c>
      <c r="G37" s="718">
        <f>huishoudens!F12</f>
        <v>4751.427399375867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13216.390807396856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109.08997714705986</v>
      </c>
      <c r="D39" s="718">
        <f ca="1">industrie!C22</f>
        <v>0</v>
      </c>
      <c r="E39" s="718">
        <f>industrie!D22</f>
        <v>113.61378815345827</v>
      </c>
      <c r="F39" s="718">
        <f>industrie!E22</f>
        <v>32.157762030439301</v>
      </c>
      <c r="G39" s="718">
        <f>industrie!F22</f>
        <v>109.69389790034027</v>
      </c>
      <c r="H39" s="718">
        <f>industrie!G22</f>
        <v>0</v>
      </c>
      <c r="I39" s="718">
        <f>industrie!H22</f>
        <v>0</v>
      </c>
      <c r="J39" s="718">
        <f>industrie!I22</f>
        <v>0</v>
      </c>
      <c r="K39" s="718">
        <f>industrie!J22</f>
        <v>0.19816587237953617</v>
      </c>
      <c r="L39" s="718">
        <f>industrie!K22</f>
        <v>0</v>
      </c>
      <c r="M39" s="718">
        <f>industrie!L22</f>
        <v>0</v>
      </c>
      <c r="N39" s="718">
        <f>industrie!M22</f>
        <v>0</v>
      </c>
      <c r="O39" s="718">
        <f>industrie!N22</f>
        <v>0</v>
      </c>
      <c r="P39" s="718">
        <f>industrie!O22</f>
        <v>0</v>
      </c>
      <c r="Q39" s="828">
        <f>industrie!P22</f>
        <v>0</v>
      </c>
      <c r="R39" s="918">
        <f ca="1">SUM(C39:Q39)</f>
        <v>364.75359110367725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2453.0536393031075</v>
      </c>
      <c r="D41" s="763">
        <f t="shared" ref="D41:R41" ca="1" si="4">SUM(D35:D40)</f>
        <v>0</v>
      </c>
      <c r="E41" s="763">
        <f t="shared" ca="1" si="4"/>
        <v>7239.5506117112036</v>
      </c>
      <c r="F41" s="763">
        <f t="shared" si="4"/>
        <v>703.0474720127354</v>
      </c>
      <c r="G41" s="763">
        <f t="shared" ca="1" si="4"/>
        <v>5035.7136171905413</v>
      </c>
      <c r="H41" s="763">
        <f t="shared" si="4"/>
        <v>0</v>
      </c>
      <c r="I41" s="763">
        <f t="shared" si="4"/>
        <v>0</v>
      </c>
      <c r="J41" s="763">
        <f t="shared" si="4"/>
        <v>0</v>
      </c>
      <c r="K41" s="763">
        <f t="shared" si="4"/>
        <v>0.20188202452307419</v>
      </c>
      <c r="L41" s="763">
        <f t="shared" si="4"/>
        <v>0</v>
      </c>
      <c r="M41" s="763">
        <f t="shared" ca="1" si="4"/>
        <v>0</v>
      </c>
      <c r="N41" s="763">
        <f t="shared" si="4"/>
        <v>0</v>
      </c>
      <c r="O41" s="763">
        <f t="shared" ca="1" si="4"/>
        <v>0</v>
      </c>
      <c r="P41" s="763">
        <f t="shared" si="4"/>
        <v>0</v>
      </c>
      <c r="Q41" s="764">
        <f t="shared" si="4"/>
        <v>0</v>
      </c>
      <c r="R41" s="765">
        <f t="shared" ca="1" si="4"/>
        <v>15431.567222242111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189.86487195195284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189.86487195195284</v>
      </c>
    </row>
    <row r="45" spans="1:18" ht="15" thickBot="1">
      <c r="A45" s="888" t="s">
        <v>307</v>
      </c>
      <c r="B45" s="898"/>
      <c r="C45" s="727">
        <f ca="1">transport!B18</f>
        <v>6.3048366593771865</v>
      </c>
      <c r="D45" s="727">
        <f>transport!C18</f>
        <v>0</v>
      </c>
      <c r="E45" s="727">
        <f>transport!D18</f>
        <v>32.594222585364562</v>
      </c>
      <c r="F45" s="727">
        <f>transport!E18</f>
        <v>57.426406666799465</v>
      </c>
      <c r="G45" s="727">
        <f>transport!F18</f>
        <v>0</v>
      </c>
      <c r="H45" s="727">
        <f>transport!G18</f>
        <v>24323.95512018662</v>
      </c>
      <c r="I45" s="727">
        <f>transport!H18</f>
        <v>4675.6517074522335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29095.932293550395</v>
      </c>
    </row>
    <row r="46" spans="1:18" ht="15.75" thickBot="1">
      <c r="A46" s="886" t="s">
        <v>230</v>
      </c>
      <c r="B46" s="899"/>
      <c r="C46" s="763">
        <f t="shared" ref="C46:R46" ca="1" si="5">SUM(C43:C45)</f>
        <v>6.3048366593771865</v>
      </c>
      <c r="D46" s="763">
        <f t="shared" ca="1" si="5"/>
        <v>0</v>
      </c>
      <c r="E46" s="763">
        <f t="shared" si="5"/>
        <v>32.594222585364562</v>
      </c>
      <c r="F46" s="763">
        <f t="shared" si="5"/>
        <v>57.426406666799465</v>
      </c>
      <c r="G46" s="763">
        <f t="shared" si="5"/>
        <v>0</v>
      </c>
      <c r="H46" s="763">
        <f t="shared" si="5"/>
        <v>24513.819992138571</v>
      </c>
      <c r="I46" s="763">
        <f t="shared" si="5"/>
        <v>4675.6517074522335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29285.797165502347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49.625583911506574</v>
      </c>
      <c r="D48" s="718">
        <f ca="1">+landbouw!C12</f>
        <v>0</v>
      </c>
      <c r="E48" s="718">
        <f>+landbouw!D12</f>
        <v>243.98808141060826</v>
      </c>
      <c r="F48" s="718">
        <f>+landbouw!E12</f>
        <v>2.5647656414666766</v>
      </c>
      <c r="G48" s="718">
        <f>+landbouw!F12</f>
        <v>427.56486092850287</v>
      </c>
      <c r="H48" s="718">
        <f>+landbouw!G12</f>
        <v>0</v>
      </c>
      <c r="I48" s="718">
        <f>+landbouw!H12</f>
        <v>0</v>
      </c>
      <c r="J48" s="718">
        <f>+landbouw!I12</f>
        <v>0</v>
      </c>
      <c r="K48" s="718">
        <f>+landbouw!J12</f>
        <v>19.714437459969442</v>
      </c>
      <c r="L48" s="718">
        <f>+landbouw!K12</f>
        <v>0</v>
      </c>
      <c r="M48" s="718">
        <f>+landbouw!L12</f>
        <v>0</v>
      </c>
      <c r="N48" s="718">
        <f>+landbouw!M12</f>
        <v>0</v>
      </c>
      <c r="O48" s="718">
        <f>+landbouw!N12</f>
        <v>0</v>
      </c>
      <c r="P48" s="718">
        <f>+landbouw!O12</f>
        <v>0</v>
      </c>
      <c r="Q48" s="719">
        <f>+landbouw!P12</f>
        <v>0</v>
      </c>
      <c r="R48" s="761">
        <f ca="1">SUM(C48:Q48)</f>
        <v>743.45772935205389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2508.9840598739911</v>
      </c>
      <c r="D53" s="773">
        <f t="shared" ref="D53:Q53" ca="1" si="6">D41+D46+D48</f>
        <v>0</v>
      </c>
      <c r="E53" s="773">
        <f t="shared" ca="1" si="6"/>
        <v>7516.1329157071759</v>
      </c>
      <c r="F53" s="773">
        <f t="shared" si="6"/>
        <v>763.03864432100158</v>
      </c>
      <c r="G53" s="773">
        <f t="shared" ca="1" si="6"/>
        <v>5463.2784781190439</v>
      </c>
      <c r="H53" s="773">
        <f t="shared" si="6"/>
        <v>24513.819992138571</v>
      </c>
      <c r="I53" s="773">
        <f t="shared" si="6"/>
        <v>4675.6517074522335</v>
      </c>
      <c r="J53" s="773">
        <f t="shared" si="6"/>
        <v>0</v>
      </c>
      <c r="K53" s="773">
        <f t="shared" si="6"/>
        <v>19.916319484492515</v>
      </c>
      <c r="L53" s="773">
        <f t="shared" si="6"/>
        <v>0</v>
      </c>
      <c r="M53" s="773">
        <f t="shared" ca="1" si="6"/>
        <v>0</v>
      </c>
      <c r="N53" s="773">
        <f t="shared" si="6"/>
        <v>0</v>
      </c>
      <c r="O53" s="773">
        <f t="shared" ca="1" si="6"/>
        <v>0</v>
      </c>
      <c r="P53" s="773">
        <f>P41+P46+P48</f>
        <v>0</v>
      </c>
      <c r="Q53" s="774">
        <f t="shared" si="6"/>
        <v>0</v>
      </c>
      <c r="R53" s="775">
        <f ca="1">R41+R46+R48</f>
        <v>45460.822117096512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0.12910067640651116</v>
      </c>
      <c r="D55" s="836">
        <f t="shared" ca="1" si="7"/>
        <v>0</v>
      </c>
      <c r="E55" s="836">
        <f t="shared" ca="1" si="7"/>
        <v>0.20200000000000001</v>
      </c>
      <c r="F55" s="836">
        <f t="shared" si="7"/>
        <v>0.22700000000000004</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2456.4525183591068</v>
      </c>
      <c r="C66" s="795">
        <f>'lokale energieproductie'!B6</f>
        <v>2456.4525183591068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5625</v>
      </c>
      <c r="C67" s="794">
        <f>B67*IFERROR(SUM(J67:L67)/SUM(D67:M67),0)</f>
        <v>5625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6617.6470588235297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8081.4525183591068</v>
      </c>
      <c r="C69" s="803">
        <f>SUM(C64:C68)</f>
        <v>8081.4525183591068</v>
      </c>
      <c r="D69" s="804">
        <f t="shared" ref="D69:M69" si="8">SUM(D67:D68)</f>
        <v>0</v>
      </c>
      <c r="E69" s="804">
        <f t="shared" si="8"/>
        <v>0</v>
      </c>
      <c r="F69" s="804">
        <f t="shared" si="8"/>
        <v>0</v>
      </c>
      <c r="G69" s="804">
        <f t="shared" si="8"/>
        <v>0</v>
      </c>
      <c r="H69" s="804">
        <f t="shared" si="8"/>
        <v>0</v>
      </c>
      <c r="I69" s="804">
        <f t="shared" si="8"/>
        <v>0</v>
      </c>
      <c r="J69" s="804">
        <f t="shared" si="8"/>
        <v>0</v>
      </c>
      <c r="K69" s="804">
        <f t="shared" si="8"/>
        <v>6617.6470588235297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8035.7142857142862</v>
      </c>
      <c r="C78" s="817">
        <f>B78*IFERROR(SUM(I78:L78)/SUM(D78:M78),0)</f>
        <v>8035.7142857142862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9453.7815126050427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8035.7142857142862</v>
      </c>
      <c r="C81" s="803">
        <f>SUM(C78:C80)</f>
        <v>8035.7142857142862</v>
      </c>
      <c r="D81" s="803">
        <f t="shared" ref="D81:P81" si="9">SUM(D78:D80)</f>
        <v>0</v>
      </c>
      <c r="E81" s="803">
        <f t="shared" si="9"/>
        <v>0</v>
      </c>
      <c r="F81" s="803">
        <f t="shared" si="9"/>
        <v>0</v>
      </c>
      <c r="G81" s="803">
        <f t="shared" si="9"/>
        <v>0</v>
      </c>
      <c r="H81" s="803">
        <f t="shared" si="9"/>
        <v>0</v>
      </c>
      <c r="I81" s="803">
        <f t="shared" si="9"/>
        <v>0</v>
      </c>
      <c r="J81" s="803">
        <f t="shared" si="9"/>
        <v>0</v>
      </c>
      <c r="K81" s="803">
        <f t="shared" si="9"/>
        <v>9453.7815126050427</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13991.523425354248</v>
      </c>
      <c r="C4" s="478">
        <f>huishoudens!C8</f>
        <v>0</v>
      </c>
      <c r="D4" s="478">
        <f>huishoudens!D8</f>
        <v>29697.63756725673</v>
      </c>
      <c r="E4" s="478">
        <f>huishoudens!E8</f>
        <v>2906.2796531469176</v>
      </c>
      <c r="F4" s="478">
        <f>huishoudens!F8</f>
        <v>17795.608237362798</v>
      </c>
      <c r="G4" s="478">
        <f>huishoudens!G8</f>
        <v>0</v>
      </c>
      <c r="H4" s="478">
        <f>huishoudens!H8</f>
        <v>0</v>
      </c>
      <c r="I4" s="478">
        <f>huishoudens!I8</f>
        <v>0</v>
      </c>
      <c r="J4" s="478">
        <f>huishoudens!J8</f>
        <v>0</v>
      </c>
      <c r="K4" s="478">
        <f>huishoudens!K8</f>
        <v>0</v>
      </c>
      <c r="L4" s="478">
        <f>huishoudens!L8</f>
        <v>0</v>
      </c>
      <c r="M4" s="478">
        <f>huishoudens!M8</f>
        <v>0</v>
      </c>
      <c r="N4" s="478">
        <f>huishoudens!N8</f>
        <v>7043.1596699246666</v>
      </c>
      <c r="O4" s="478">
        <f>huishoudens!O8</f>
        <v>157.89666666666668</v>
      </c>
      <c r="P4" s="479">
        <f>huishoudens!P8</f>
        <v>400.4</v>
      </c>
      <c r="Q4" s="480">
        <f>SUM(B4:P4)</f>
        <v>71992.505219712039</v>
      </c>
    </row>
    <row r="5" spans="1:17">
      <c r="A5" s="477" t="s">
        <v>156</v>
      </c>
      <c r="B5" s="478">
        <f ca="1">tertiair!B16</f>
        <v>3745.6868314831236</v>
      </c>
      <c r="C5" s="478">
        <f ca="1">tertiair!C16</f>
        <v>0</v>
      </c>
      <c r="D5" s="478">
        <f ca="1">tertiair!D16</f>
        <v>5579.277400850915</v>
      </c>
      <c r="E5" s="478">
        <f>tertiair!E16</f>
        <v>49.181624308131148</v>
      </c>
      <c r="F5" s="478">
        <f ca="1">tertiair!F16</f>
        <v>653.90381990387357</v>
      </c>
      <c r="G5" s="478">
        <f>tertiair!G16</f>
        <v>0</v>
      </c>
      <c r="H5" s="478">
        <f>tertiair!H16</f>
        <v>0</v>
      </c>
      <c r="I5" s="478">
        <f>tertiair!I16</f>
        <v>0</v>
      </c>
      <c r="J5" s="478">
        <f>tertiair!J16</f>
        <v>1.0497604925248637E-2</v>
      </c>
      <c r="K5" s="478">
        <f>tertiair!K16</f>
        <v>0</v>
      </c>
      <c r="L5" s="478">
        <f ca="1">tertiair!L16</f>
        <v>0</v>
      </c>
      <c r="M5" s="478">
        <f>tertiair!M16</f>
        <v>0</v>
      </c>
      <c r="N5" s="478">
        <f ca="1">tertiair!N16</f>
        <v>416.54398191589456</v>
      </c>
      <c r="O5" s="478">
        <f>tertiair!O16</f>
        <v>0</v>
      </c>
      <c r="P5" s="479">
        <f>tertiair!P16</f>
        <v>19.066666666666666</v>
      </c>
      <c r="Q5" s="477">
        <f t="shared" ref="Q5:Q13" ca="1" si="0">SUM(B5:P5)</f>
        <v>10463.670822733529</v>
      </c>
    </row>
    <row r="6" spans="1:17">
      <c r="A6" s="477" t="s">
        <v>194</v>
      </c>
      <c r="B6" s="478">
        <f>'openbare verlichting'!B8</f>
        <v>418.88099999999997</v>
      </c>
      <c r="C6" s="478"/>
      <c r="D6" s="478"/>
      <c r="E6" s="478"/>
      <c r="F6" s="478"/>
      <c r="G6" s="478"/>
      <c r="H6" s="478"/>
      <c r="I6" s="478"/>
      <c r="J6" s="478"/>
      <c r="K6" s="478"/>
      <c r="L6" s="478"/>
      <c r="M6" s="478"/>
      <c r="N6" s="478"/>
      <c r="O6" s="478"/>
      <c r="P6" s="479"/>
      <c r="Q6" s="477">
        <f t="shared" si="0"/>
        <v>418.88099999999997</v>
      </c>
    </row>
    <row r="7" spans="1:17">
      <c r="A7" s="477" t="s">
        <v>112</v>
      </c>
      <c r="B7" s="478">
        <f>landbouw!B8</f>
        <v>384.3944531727002</v>
      </c>
      <c r="C7" s="478">
        <f>landbouw!C8</f>
        <v>8035.7142857142862</v>
      </c>
      <c r="D7" s="478">
        <f>landbouw!D8</f>
        <v>1207.8617891614269</v>
      </c>
      <c r="E7" s="478">
        <f>landbouw!E8</f>
        <v>11.29852705491928</v>
      </c>
      <c r="F7" s="478">
        <f>landbouw!F8</f>
        <v>1601.3665203314713</v>
      </c>
      <c r="G7" s="478">
        <f>landbouw!G8</f>
        <v>0</v>
      </c>
      <c r="H7" s="478">
        <f>landbouw!H8</f>
        <v>0</v>
      </c>
      <c r="I7" s="478">
        <f>landbouw!I8</f>
        <v>0</v>
      </c>
      <c r="J7" s="478">
        <f>landbouw!J8</f>
        <v>55.690501299348711</v>
      </c>
      <c r="K7" s="478">
        <f>landbouw!K8</f>
        <v>0</v>
      </c>
      <c r="L7" s="478">
        <f>landbouw!L8</f>
        <v>0</v>
      </c>
      <c r="M7" s="478">
        <f>landbouw!M8</f>
        <v>0</v>
      </c>
      <c r="N7" s="478">
        <f>landbouw!N8</f>
        <v>0</v>
      </c>
      <c r="O7" s="478">
        <f>landbouw!O8</f>
        <v>0</v>
      </c>
      <c r="P7" s="479">
        <f>landbouw!P8</f>
        <v>0</v>
      </c>
      <c r="Q7" s="477">
        <f t="shared" si="0"/>
        <v>11296.326076734153</v>
      </c>
    </row>
    <row r="8" spans="1:17">
      <c r="A8" s="477" t="s">
        <v>635</v>
      </c>
      <c r="B8" s="478">
        <f>industrie!B18</f>
        <v>844.99926866036105</v>
      </c>
      <c r="C8" s="478">
        <f>industrie!C18</f>
        <v>0</v>
      </c>
      <c r="D8" s="478">
        <f>industrie!D18</f>
        <v>562.44449580919934</v>
      </c>
      <c r="E8" s="478">
        <f>industrie!E18</f>
        <v>141.6641499138295</v>
      </c>
      <c r="F8" s="478">
        <f>industrie!F18</f>
        <v>410.8385689151321</v>
      </c>
      <c r="G8" s="478">
        <f>industrie!G18</f>
        <v>0</v>
      </c>
      <c r="H8" s="478">
        <f>industrie!H18</f>
        <v>0</v>
      </c>
      <c r="I8" s="478">
        <f>industrie!I18</f>
        <v>0</v>
      </c>
      <c r="J8" s="478">
        <f>industrie!J18</f>
        <v>0.5597905999421926</v>
      </c>
      <c r="K8" s="478">
        <f>industrie!K18</f>
        <v>0</v>
      </c>
      <c r="L8" s="478">
        <f>industrie!L18</f>
        <v>0</v>
      </c>
      <c r="M8" s="478">
        <f>industrie!M18</f>
        <v>0</v>
      </c>
      <c r="N8" s="478">
        <f>industrie!N18</f>
        <v>198.18172988388727</v>
      </c>
      <c r="O8" s="478">
        <f>industrie!O18</f>
        <v>0</v>
      </c>
      <c r="P8" s="479">
        <f>industrie!P18</f>
        <v>0</v>
      </c>
      <c r="Q8" s="477">
        <f t="shared" si="0"/>
        <v>2158.6880037823516</v>
      </c>
    </row>
    <row r="9" spans="1:17" s="483" customFormat="1">
      <c r="A9" s="481" t="s">
        <v>561</v>
      </c>
      <c r="B9" s="482">
        <f>transport!B14</f>
        <v>48.836588892257765</v>
      </c>
      <c r="C9" s="482">
        <f>transport!C14</f>
        <v>0</v>
      </c>
      <c r="D9" s="482">
        <f>transport!D14</f>
        <v>161.35753755130969</v>
      </c>
      <c r="E9" s="482">
        <f>transport!E14</f>
        <v>252.97976505198002</v>
      </c>
      <c r="F9" s="482">
        <f>transport!F14</f>
        <v>0</v>
      </c>
      <c r="G9" s="482">
        <f>transport!G14</f>
        <v>91100.955506316925</v>
      </c>
      <c r="H9" s="482">
        <f>transport!H14</f>
        <v>18777.717700611378</v>
      </c>
      <c r="I9" s="482">
        <f>transport!I14</f>
        <v>0</v>
      </c>
      <c r="J9" s="482">
        <f>transport!J14</f>
        <v>0</v>
      </c>
      <c r="K9" s="482">
        <f>transport!K14</f>
        <v>0</v>
      </c>
      <c r="L9" s="482">
        <f>transport!L14</f>
        <v>0</v>
      </c>
      <c r="M9" s="482">
        <f>transport!M14</f>
        <v>5879.9522106330369</v>
      </c>
      <c r="N9" s="482">
        <f>transport!N14</f>
        <v>0</v>
      </c>
      <c r="O9" s="482">
        <f>transport!O14</f>
        <v>0</v>
      </c>
      <c r="P9" s="482">
        <f>transport!P14</f>
        <v>0</v>
      </c>
      <c r="Q9" s="481">
        <f>SUM(B9:P9)</f>
        <v>116221.79930905689</v>
      </c>
    </row>
    <row r="10" spans="1:17">
      <c r="A10" s="477" t="s">
        <v>551</v>
      </c>
      <c r="B10" s="478">
        <f>transport!B54</f>
        <v>0</v>
      </c>
      <c r="C10" s="478">
        <f>transport!C54</f>
        <v>0</v>
      </c>
      <c r="D10" s="478">
        <f>transport!D54</f>
        <v>0</v>
      </c>
      <c r="E10" s="478">
        <f>transport!E54</f>
        <v>0</v>
      </c>
      <c r="F10" s="478">
        <f>transport!F54</f>
        <v>0</v>
      </c>
      <c r="G10" s="478">
        <f>transport!G54</f>
        <v>711.10438933315663</v>
      </c>
      <c r="H10" s="478">
        <f>transport!H54</f>
        <v>0</v>
      </c>
      <c r="I10" s="478">
        <f>transport!I54</f>
        <v>0</v>
      </c>
      <c r="J10" s="478">
        <f>transport!J54</f>
        <v>0</v>
      </c>
      <c r="K10" s="478">
        <f>transport!K54</f>
        <v>0</v>
      </c>
      <c r="L10" s="478">
        <f>transport!L54</f>
        <v>0</v>
      </c>
      <c r="M10" s="478">
        <f>transport!M54</f>
        <v>40.387590089479183</v>
      </c>
      <c r="N10" s="478">
        <f>transport!N54</f>
        <v>0</v>
      </c>
      <c r="O10" s="478">
        <f>transport!O54</f>
        <v>0</v>
      </c>
      <c r="P10" s="479">
        <f>transport!P54</f>
        <v>0</v>
      </c>
      <c r="Q10" s="477">
        <f t="shared" si="0"/>
        <v>751.49197942263584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19434.321567562689</v>
      </c>
      <c r="C14" s="488">
        <f t="shared" ref="C14:Q14" ca="1" si="1">SUM(C4:C13)</f>
        <v>8035.7142857142862</v>
      </c>
      <c r="D14" s="488">
        <f t="shared" ca="1" si="1"/>
        <v>37208.578790629581</v>
      </c>
      <c r="E14" s="488">
        <f t="shared" si="1"/>
        <v>3361.4037194757775</v>
      </c>
      <c r="F14" s="488">
        <f t="shared" ca="1" si="1"/>
        <v>20461.717146513274</v>
      </c>
      <c r="G14" s="488">
        <f t="shared" si="1"/>
        <v>91812.059895650076</v>
      </c>
      <c r="H14" s="488">
        <f t="shared" si="1"/>
        <v>18777.717700611378</v>
      </c>
      <c r="I14" s="488">
        <f t="shared" si="1"/>
        <v>0</v>
      </c>
      <c r="J14" s="488">
        <f t="shared" si="1"/>
        <v>56.260789504216149</v>
      </c>
      <c r="K14" s="488">
        <f t="shared" si="1"/>
        <v>0</v>
      </c>
      <c r="L14" s="488">
        <f t="shared" ca="1" si="1"/>
        <v>0</v>
      </c>
      <c r="M14" s="488">
        <f t="shared" si="1"/>
        <v>5920.339800722516</v>
      </c>
      <c r="N14" s="488">
        <f t="shared" ca="1" si="1"/>
        <v>7657.8853817244481</v>
      </c>
      <c r="O14" s="488">
        <f t="shared" si="1"/>
        <v>157.89666666666668</v>
      </c>
      <c r="P14" s="489">
        <f t="shared" si="1"/>
        <v>419.46666666666664</v>
      </c>
      <c r="Q14" s="489">
        <f t="shared" ca="1" si="1"/>
        <v>213303.3624114416</v>
      </c>
    </row>
    <row r="16" spans="1:17">
      <c r="A16" s="491" t="s">
        <v>556</v>
      </c>
      <c r="B16" s="841">
        <f ca="1">huishoudens!B10</f>
        <v>0.12910067640651116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1806.3151381707792</v>
      </c>
      <c r="C21" s="478">
        <f t="shared" ref="C21:C30" ca="1" si="3">C4*$C$16</f>
        <v>0</v>
      </c>
      <c r="D21" s="478">
        <f t="shared" ref="D21:D30" si="4">D4*$D$16</f>
        <v>5998.92278858586</v>
      </c>
      <c r="E21" s="478">
        <f t="shared" ref="E21:E30" si="5">E4*$E$16</f>
        <v>659.72548126435026</v>
      </c>
      <c r="F21" s="478">
        <f t="shared" ref="F21:F30" si="6">F4*$F$16</f>
        <v>4751.427399375867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13216.390807396856</v>
      </c>
    </row>
    <row r="22" spans="1:17">
      <c r="A22" s="477" t="s">
        <v>156</v>
      </c>
      <c r="B22" s="478">
        <f t="shared" ca="1" si="2"/>
        <v>483.57070355143281</v>
      </c>
      <c r="C22" s="478">
        <f t="shared" ca="1" si="3"/>
        <v>0</v>
      </c>
      <c r="D22" s="478">
        <f t="shared" ca="1" si="4"/>
        <v>1127.0140349718849</v>
      </c>
      <c r="E22" s="478">
        <f t="shared" si="5"/>
        <v>11.164228717945772</v>
      </c>
      <c r="F22" s="478">
        <f t="shared" ca="1" si="6"/>
        <v>174.59231991433424</v>
      </c>
      <c r="G22" s="478">
        <f t="shared" si="7"/>
        <v>0</v>
      </c>
      <c r="H22" s="478">
        <f t="shared" si="8"/>
        <v>0</v>
      </c>
      <c r="I22" s="478">
        <f t="shared" si="9"/>
        <v>0</v>
      </c>
      <c r="J22" s="478">
        <f t="shared" si="10"/>
        <v>3.7161521435380173E-3</v>
      </c>
      <c r="K22" s="478">
        <f t="shared" si="11"/>
        <v>0</v>
      </c>
      <c r="L22" s="478">
        <f t="shared" ca="1" si="12"/>
        <v>0</v>
      </c>
      <c r="M22" s="478">
        <f t="shared" si="13"/>
        <v>0</v>
      </c>
      <c r="N22" s="478">
        <f t="shared" ca="1" si="14"/>
        <v>0</v>
      </c>
      <c r="O22" s="478">
        <f t="shared" si="15"/>
        <v>0</v>
      </c>
      <c r="P22" s="479">
        <f t="shared" si="16"/>
        <v>0</v>
      </c>
      <c r="Q22" s="477">
        <f t="shared" ref="Q22:Q30" ca="1" si="17">SUM(B22:P22)</f>
        <v>1796.3450033077413</v>
      </c>
    </row>
    <row r="23" spans="1:17">
      <c r="A23" s="477" t="s">
        <v>194</v>
      </c>
      <c r="B23" s="478">
        <f t="shared" ca="1" si="2"/>
        <v>54.077820433835797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54.077820433835797</v>
      </c>
    </row>
    <row r="24" spans="1:17">
      <c r="A24" s="477" t="s">
        <v>112</v>
      </c>
      <c r="B24" s="478">
        <f t="shared" ca="1" si="2"/>
        <v>49.625583911506574</v>
      </c>
      <c r="C24" s="478">
        <f t="shared" ca="1" si="3"/>
        <v>0</v>
      </c>
      <c r="D24" s="478">
        <f t="shared" si="4"/>
        <v>243.98808141060826</v>
      </c>
      <c r="E24" s="478">
        <f t="shared" si="5"/>
        <v>2.5647656414666766</v>
      </c>
      <c r="F24" s="478">
        <f t="shared" si="6"/>
        <v>427.56486092850287</v>
      </c>
      <c r="G24" s="478">
        <f t="shared" si="7"/>
        <v>0</v>
      </c>
      <c r="H24" s="478">
        <f t="shared" si="8"/>
        <v>0</v>
      </c>
      <c r="I24" s="478">
        <f t="shared" si="9"/>
        <v>0</v>
      </c>
      <c r="J24" s="478">
        <f t="shared" si="10"/>
        <v>19.714437459969442</v>
      </c>
      <c r="K24" s="478">
        <f t="shared" si="11"/>
        <v>0</v>
      </c>
      <c r="L24" s="478">
        <f t="shared" si="12"/>
        <v>0</v>
      </c>
      <c r="M24" s="478">
        <f t="shared" si="13"/>
        <v>0</v>
      </c>
      <c r="N24" s="478">
        <f t="shared" si="14"/>
        <v>0</v>
      </c>
      <c r="O24" s="478">
        <f t="shared" si="15"/>
        <v>0</v>
      </c>
      <c r="P24" s="479">
        <f t="shared" si="16"/>
        <v>0</v>
      </c>
      <c r="Q24" s="477">
        <f t="shared" ca="1" si="17"/>
        <v>743.45772935205389</v>
      </c>
    </row>
    <row r="25" spans="1:17">
      <c r="A25" s="477" t="s">
        <v>635</v>
      </c>
      <c r="B25" s="478">
        <f t="shared" ca="1" si="2"/>
        <v>109.08997714705986</v>
      </c>
      <c r="C25" s="478">
        <f t="shared" ca="1" si="3"/>
        <v>0</v>
      </c>
      <c r="D25" s="478">
        <f t="shared" si="4"/>
        <v>113.61378815345827</v>
      </c>
      <c r="E25" s="478">
        <f t="shared" si="5"/>
        <v>32.157762030439301</v>
      </c>
      <c r="F25" s="478">
        <f t="shared" si="6"/>
        <v>109.69389790034027</v>
      </c>
      <c r="G25" s="478">
        <f t="shared" si="7"/>
        <v>0</v>
      </c>
      <c r="H25" s="478">
        <f t="shared" si="8"/>
        <v>0</v>
      </c>
      <c r="I25" s="478">
        <f t="shared" si="9"/>
        <v>0</v>
      </c>
      <c r="J25" s="478">
        <f t="shared" si="10"/>
        <v>0.19816587237953617</v>
      </c>
      <c r="K25" s="478">
        <f t="shared" si="11"/>
        <v>0</v>
      </c>
      <c r="L25" s="478">
        <f t="shared" si="12"/>
        <v>0</v>
      </c>
      <c r="M25" s="478">
        <f t="shared" si="13"/>
        <v>0</v>
      </c>
      <c r="N25" s="478">
        <f t="shared" si="14"/>
        <v>0</v>
      </c>
      <c r="O25" s="478">
        <f t="shared" si="15"/>
        <v>0</v>
      </c>
      <c r="P25" s="479">
        <f t="shared" si="16"/>
        <v>0</v>
      </c>
      <c r="Q25" s="477">
        <f t="shared" ca="1" si="17"/>
        <v>364.75359110367725</v>
      </c>
    </row>
    <row r="26" spans="1:17" s="483" customFormat="1">
      <c r="A26" s="481" t="s">
        <v>561</v>
      </c>
      <c r="B26" s="835">
        <f t="shared" ca="1" si="2"/>
        <v>6.3048366593771865</v>
      </c>
      <c r="C26" s="482">
        <f t="shared" ca="1" si="3"/>
        <v>0</v>
      </c>
      <c r="D26" s="482">
        <f t="shared" si="4"/>
        <v>32.594222585364562</v>
      </c>
      <c r="E26" s="482">
        <f t="shared" si="5"/>
        <v>57.426406666799465</v>
      </c>
      <c r="F26" s="482">
        <f t="shared" si="6"/>
        <v>0</v>
      </c>
      <c r="G26" s="482">
        <f t="shared" si="7"/>
        <v>24323.95512018662</v>
      </c>
      <c r="H26" s="482">
        <f t="shared" si="8"/>
        <v>4675.6517074522335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29095.932293550395</v>
      </c>
    </row>
    <row r="27" spans="1:17">
      <c r="A27" s="477" t="s">
        <v>551</v>
      </c>
      <c r="B27" s="478">
        <f t="shared" ca="1" si="2"/>
        <v>0</v>
      </c>
      <c r="C27" s="478">
        <f t="shared" ca="1" si="3"/>
        <v>0</v>
      </c>
      <c r="D27" s="478">
        <f t="shared" si="4"/>
        <v>0</v>
      </c>
      <c r="E27" s="478">
        <f t="shared" si="5"/>
        <v>0</v>
      </c>
      <c r="F27" s="478">
        <f t="shared" si="6"/>
        <v>0</v>
      </c>
      <c r="G27" s="478">
        <f t="shared" si="7"/>
        <v>189.86487195195284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189.86487195195284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2508.9840598739911</v>
      </c>
      <c r="C31" s="488">
        <f t="shared" ca="1" si="18"/>
        <v>0</v>
      </c>
      <c r="D31" s="488">
        <f t="shared" ca="1" si="18"/>
        <v>7516.1329157071759</v>
      </c>
      <c r="E31" s="488">
        <f t="shared" si="18"/>
        <v>763.03864432100158</v>
      </c>
      <c r="F31" s="488">
        <f t="shared" ca="1" si="18"/>
        <v>5463.2784781190439</v>
      </c>
      <c r="G31" s="488">
        <f t="shared" si="18"/>
        <v>24513.819992138571</v>
      </c>
      <c r="H31" s="488">
        <f t="shared" si="18"/>
        <v>4675.6517074522335</v>
      </c>
      <c r="I31" s="488">
        <f t="shared" si="18"/>
        <v>0</v>
      </c>
      <c r="J31" s="488">
        <f t="shared" si="18"/>
        <v>19.916319484492519</v>
      </c>
      <c r="K31" s="488">
        <f t="shared" si="18"/>
        <v>0</v>
      </c>
      <c r="L31" s="488">
        <f t="shared" ca="1" si="18"/>
        <v>0</v>
      </c>
      <c r="M31" s="488">
        <f t="shared" si="18"/>
        <v>0</v>
      </c>
      <c r="N31" s="488">
        <f t="shared" ca="1" si="18"/>
        <v>0</v>
      </c>
      <c r="O31" s="488">
        <f t="shared" si="18"/>
        <v>0</v>
      </c>
      <c r="P31" s="489">
        <f t="shared" si="18"/>
        <v>0</v>
      </c>
      <c r="Q31" s="489">
        <f t="shared" ca="1" si="18"/>
        <v>45460.822117096512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0.12910067640651116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0.12910067640651116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0.12910067640651116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2018-09-06T12:47:06Z</dcterms:modified>
</cp:coreProperties>
</file>