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<sst xmlns="http://schemas.openxmlformats.org/spreadsheetml/2006/main" count="1921" uniqueCount="813">
  <si>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</si>
  <si>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</si>
  <si>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</si>
  <si>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</si>
  <si>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</si>
  <si>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</si>
  <si>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</si>
  <si>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</si>
  <si>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</si>
  <si>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</si>
  <si>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</si>
  <si>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</si>
  <si>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</si>
  <si>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</si>
  <si>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</si>
  <si>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</si>
  <si>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</si>
  <si>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</si>
  <si>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</si>
  <si>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</si>
  <si>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</si>
  <si>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</si>
  <si>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</si>
  <si>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</si>
  <si>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</si>
  <si>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</si>
  <si>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</si>
  <si>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</si>
  <si>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</si>
  <si>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</si>
  <si>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</si>
  <si>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</si>
  <si>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</si>
  <si>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</si>
  <si>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</si>
  <si>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</si>
  <si>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</si>
  <si>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</si>
  <si>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</si>
  <si>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</si>
  <si>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</si>
  <si>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</si>
  <si>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</si>
  <si>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</si>
  <si>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</si>
  <si>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</si>
  <si>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</si>
  <si>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</si>
  <si>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</si>
  <si>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</si>
  <si>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</si>
  <si>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</si>
  <si>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</si>
  <si>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</si>
  <si>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</si>
  <si>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</si>
  <si>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</si>
  <si>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</si>
  <si>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</si>
  <si>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</si>
  <si>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</si>
  <si>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</si>
  <si>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</si>
  <si>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</si>
  <si>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</si>
  <si>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</si>
  <si>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</si>
  <si>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</si>
  <si>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</si>
  <si>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</si>
  <si>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</si>
  <si>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</si>
  <si>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</si>
  <si>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</si>
  <si>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</si>
  <si>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</si>
  <si>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</si>
  <si>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</si>
  <si>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</si>
  <si>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</si>
  <si>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</si>
  <si>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</si>
  <si>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</si>
  <si>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</si>
  <si>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</si>
  <si>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</si>
  <si>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</si>
  <si>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</si>
  <si>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</si>
  <si>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</si>
  <si>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</si>
  <si>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</si>
  <si>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</si>
  <si>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</si>
  <si>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</si>
  <si>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</si>
  <si>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</si>
  <si>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</si>
  <si>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</si>
  <si>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</si>
  <si>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</si>
  <si>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</si>
  <si>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</si>
  <si>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</si>
  <si>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</si>
  <si>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</si>
  <si>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</si>
  <si>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</si>
  <si>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</si>
  <si>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</si>
  <si>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</si>
  <si>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</si>
  <si>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</si>
  <si>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</si>
  <si>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</si>
  <si>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</si>
  <si>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</si>
  <si>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</si>
  <si>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</si>
  <si>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</si>
  <si>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</si>
  <si>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</si>
  <si>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</si>
  <si>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</si>
  <si>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</si>
  <si>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</si>
  <si>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</si>
  <si>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</si>
  <si>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</si>
  <si>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</si>
  <si>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</si>
  <si>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</si>
  <si>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</si>
  <si>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</si>
  <si>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</si>
  <si>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</si>
  <si>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</si>
  <si>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</si>
  <si>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</si>
  <si>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</si>
  <si>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</si>
  <si>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</si>
  <si>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</si>
  <si>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</si>
  <si>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</si>
  <si>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</si>
  <si>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</si>
  <si>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</si>
  <si>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</si>
  <si>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</si>
  <si>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</si>
  <si>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</si>
  <si>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</si>
  <si>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</si>
  <si>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</si>
  <si>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</si>
  <si>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</si>
  <si>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</si>
  <si>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</si>
  <si>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</si>
  <si>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</si>
  <si>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</si>
  <si>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</si>
  <si>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</si>
  <si>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</si>
  <si>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</si>
  <si>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</si>
  <si>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</si>
  <si>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</si>
  <si>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</si>
  <si>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</si>
  <si>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</si>
  <si>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</si>
  <si>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</si>
  <si>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</si>
  <si>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</si>
  <si>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</si>
  <si>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</si>
  <si>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</si>
  <si>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</si>
  <si>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</si>
  <si>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</si>
  <si>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</si>
  <si>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</si>
  <si>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</si>
  <si>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</si>
  <si>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</si>
  <si>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</si>
  <si>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</si>
  <si>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</si>
  <si>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</si>
  <si>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</si>
  <si>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</si>
  <si>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</si>
  <si>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</si>
  <si>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</si>
  <si>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</si>
  <si>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</si>
  <si>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</si>
  <si>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</si>
  <si>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</si>
  <si>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</si>
  <si>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</si>
  <si>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</si>
  <si>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</si>
  <si>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</si>
  <si>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</si>
  <si>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</si>
  <si>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</si>
  <si>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</si>
  <si>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</si>
  <si>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</si>
  <si>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</si>
  <si>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</si>
  <si>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</si>
  <si>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</si>
  <si>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</si>
  <si>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</si>
  <si>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</si>
  <si>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</si>
  <si>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</si>
  <si>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</si>
  <si>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</si>
  <si>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</si>
  <si>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</si>
  <si>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</si>
  <si>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</si>
  <si>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</si>
  <si>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</si>
  <si>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</si>
  <si>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</si>
  <si>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</si>
  <si>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</si>
  <si>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</si>
  <si>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</si>
  <si>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</si>
  <si>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</si>
  <si>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</si>
  <si>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</si>
  <si>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</si>
  <si>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</si>
  <si>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</si>
  <si>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</si>
  <si>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</si>
  <si>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</si>
  <si>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</si>
  <si>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</si>
  <si>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</si>
  <si>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</si>
  <si>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</si>
  <si>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</si>
  <si>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</si>
  <si>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</si>
  <si>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</si>
  <si>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</si>
  <si>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</si>
  <si>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</si>
  <si>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</si>
  <si>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</si>
  <si>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</si>
  <si>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</si>
  <si>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</si>
  <si>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</si>
  <si>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</si>
  <si>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</si>
  <si>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</si>
  <si>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</si>
  <si>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</si>
  <si>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</si>
  <si>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</si>
  <si>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</si>
  <si>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</si>
  <si>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</si>
  <si>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</si>
  <si>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</si>
  <si>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</si>
  <si>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</si>
  <si>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</si>
  <si>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</si>
  <si>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</si>
  <si>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</si>
  <si>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</si>
  <si>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</si>
  <si>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</si>
  <si>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</si>
  <si>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</si>
  <si>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</si>
  <si>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</si>
  <si>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</si>
  <si>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</si>
  <si>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</si>
  <si>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</si>
  <si>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</si>
  <si>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</si>
  <si>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</si>
  <si>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</si>
  <si>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</si>
  <si>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</si>
  <si>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</si>
  <si>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</si>
  <si>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</si>
  <si>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</si>
  <si>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</si>
  <si>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</si>
  <si>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</si>
  <si>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</si>
  <si>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</si>
  <si>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</si>
  <si>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</si>
  <si>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</si>
  <si>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</si>
  <si>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</si>
  <si>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</si>
  <si>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</si>
  <si>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</si>
  <si>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</si>
  <si>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</si>
  <si>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</si>
  <si>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</si>
  <si>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</si>
  <si>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</si>
  <si>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</si>
  <si>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</si>
  <si>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</si>
  <si>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</si>
  <si>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</si>
  <si>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</si>
  <si>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</si>
  <si>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</si>
  <si>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</si>
  <si>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</si>
  <si>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</si>
  <si>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</si>
  <si>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</si>
  <si>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</si>
  <si>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</si>
  <si>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</si>
  <si>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</si>
  <si>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</si>
  <si>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</si>
  <si>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</si>
  <si>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</si>
  <si>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</si>
  <si>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</si>
  <si>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</si>
  <si>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</si>
  <si>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</si>
  <si>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</si>
  <si>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</si>
  <si>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</si>
  <si>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</si>
  <si>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</si>
  <si>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</si>
  <si>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</si>
  <si>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</si>
  <si>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</si>
  <si>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</si>
  <si>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</si>
  <si>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</si>
  <si>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</si>
  <si>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</si>
  <si>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</si>
  <si>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</si>
  <si>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</si>
  <si>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</si>
  <si>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</si>
  <si>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</si>
  <si>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</si>
  <si>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</si>
  <si>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</si>
  <si>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</si>
  <si>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</si>
  <si>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</si>
  <si>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</si>
  <si>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</si>
  <si>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</si>
  <si>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</si>
  <si>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</si>
  <si>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</si>
  <si>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</si>
  <si>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</si>
  <si>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</si>
  <si>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</si>
  <si>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</si>
  <si>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</si>
  <si>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</si>
  <si>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</si>
  <si>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</si>
  <si>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</si>
  <si>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</si>
  <si>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</si>
  <si>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</si>
  <si>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</si>
  <si>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</si>
  <si>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</si>
  <si>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</si>
  <si>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</si>
  <si>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</si>
  <si>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</si>
  <si>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</si>
  <si>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</si>
  <si>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</si>
  <si>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</si>
  <si>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</si>
  <si>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</si>
  <si>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</si>
  <si>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</si>
  <si>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</si>
  <si>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</si>
  <si>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</si>
  <si>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</si>
  <si>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</si>
  <si>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</si>
  <si>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</si>
  <si>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</si>
  <si>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</si>
  <si>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</si>
  <si>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</si>
  <si>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</si>
  <si>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</si>
  <si>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</si>
  <si>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</si>
  <si>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</si>
  <si>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</si>
  <si>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</si>
  <si>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</si>
  <si>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</si>
  <si>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</si>
  <si>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</si>
  <si>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</si>
  <si>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</si>
  <si>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</si>
  <si>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</si>
  <si>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</si>
  <si>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</si>
  <si>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</si>
  <si>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</si>
  <si>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</si>
  <si>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</si>
  <si>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</si>
  <si>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</si>
  <si>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</si>
  <si>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</si>
  <si>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</si>
  <si>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</si>
  <si>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</si>
  <si>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</si>
  <si>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</si>
  <si>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</si>
  <si>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</si>
  <si>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</si>
  <si>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</si>
  <si>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</si>
  <si>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</si>
  <si>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</si>
  <si>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</si>
  <si>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</si>
  <si>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</si>
  <si>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</si>
  <si>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</si>
  <si>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</si>
  <si>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</si>
  <si>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</si>
  <si>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</si>
  <si>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</si>
  <si>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</si>
  <si>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</si>
  <si>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</si>
  <si>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</si>
  <si>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</si>
  <si>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</si>
  <si>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</si>
  <si>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</si>
  <si>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</si>
  <si>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</si>
  <si>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</si>
  <si>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</si>
  <si>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</si>
  <si>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</si>
  <si>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</si>
  <si>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</si>
  <si>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</si>
  <si>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</si>
  <si>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</si>
  <si>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</si>
  <si>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</si>
  <si>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</si>
  <si>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</si>
  <si>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</si>
  <si>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</si>
  <si>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</si>
  <si>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</si>
  <si>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</si>
  <si>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</si>
  <si>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</si>
  <si>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</si>
  <si>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</si>
  <si>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</si>
  <si>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</si>
  <si>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</si>
  <si>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</si>
  <si>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</si>
  <si>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</si>
  <si>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</si>
  <si>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</si>
  <si>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</si>
  <si>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</si>
  <si>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</si>
  <si>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</si>
  <si>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</si>
  <si>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</si>
  <si>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</si>
  <si>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</si>
  <si>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</si>
  <si>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</si>
  <si>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</si>
  <si>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</si>
  <si>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</si>
  <si>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</si>
  <si>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</si>
  <si>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</si>
  <si>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</si>
  <si>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</si>
  <si>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</si>
  <si>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</si>
  <si>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</si>
  <si>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</si>
  <si>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</si>
  <si>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</si>
  <si>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</si>
  <si>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</si>
  <si>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</si>
  <si>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</si>
  <si>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</si>
  <si>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</si>
  <si>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</si>
  <si>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</si>
  <si>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</si>
  <si>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</si>
  <si>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</si>
  <si>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</si>
  <si>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</si>
  <si>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</si>
  <si>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</si>
  <si>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</si>
  <si>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</si>
  <si>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</si>
  <si>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</si>
  <si>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</si>
  <si>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</si>
  <si>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</si>
  <si>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</si>
  <si>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</si>
  <si>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</si>
  <si>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</si>
  <si>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</si>
  <si>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</si>
  <si>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</si>
  <si>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</si>
  <si>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</si>
  <si>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</si>
  <si>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</si>
  <si>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</si>
  <si>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</si>
  <si>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</si>
  <si>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</si>
  <si>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</si>
  <si>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</si>
  <si>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</si>
  <si>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</si>
  <si>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</si>
  <si>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</si>
  <si>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</si>
  <si>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</si>
  <si>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</si>
  <si>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</si>
  <si>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</si>
  <si>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</si>
  <si>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</si>
  <si>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</si>
  <si>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</si>
  <si>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</si>
  <si>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</si>
  <si>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</si>
  <si>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</si>
  <si>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</si>
  <si>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</si>
  <si>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</si>
  <si>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</si>
  <si>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</si>
  <si>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</si>
  <si>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</si>
  <si>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</si>
  <si>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</si>
  <si>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</si>
  <si>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</si>
  <si>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</si>
  <si>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</si>
  <si>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</si>
  <si>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</si>
  <si>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</si>
  <si>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</si>
  <si>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</si>
  <si>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</si>
  <si>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</si>
  <si>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</si>
  <si>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</si>
  <si>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</si>
  <si>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</si>
  <si>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</si>
  <si>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</si>
  <si>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</si>
  <si>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</si>
  <si>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</si>
  <si>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</si>
  <si>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</si>
  <si>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</si>
  <si>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</si>
  <si>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</si>
  <si>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</si>
  <si>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</si>
  <si>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</si>
  <si>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</si>
  <si>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</si>
  <si>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</si>
  <si>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</si>
  <si>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</si>
  <si>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</si>
  <si>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</si>
  <si>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</si>
  <si>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</si>
  <si>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</si>
  <si>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</si>
  <si>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</si>
  <si>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</si>
  <si>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</si>
  <si>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</si>
  <si>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</si>
  <si>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</si>
  <si>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</si>
  <si>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</si>
  <si>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</si>
  <si>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</si>
  <si>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</si>
  <si>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</si>
  <si>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</si>
  <si>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</si>
  <si>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</si>
  <si>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</si>
  <si>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</si>
  <si>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</si>
  <si>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</si>
  <si>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</si>
  <si>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</si>
  <si>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</si>
  <si>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</si>
  <si>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</si>
  <si>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</si>
  <si>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</si>
  <si>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</si>
  <si>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</si>
  <si>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</si>
  <si>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</si>
  <si>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</si>
  <si>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</si>
  <si>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</si>
  <si>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</si>
  <si>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</si>
  <si>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</si>
  <si>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</si>
  <si>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</si>
  <si>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</si>
  <si>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</si>
  <si>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</si>
  <si>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</si>
  <si>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</si>
  <si>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</si>
  <si>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</si>
  <si>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</si>
  <si>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</si>
  <si>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</si>
  <si>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</si>
  <si>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</si>
  <si>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</si>
  <si>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</si>
  <si>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</si>
  <si>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</si>
  <si>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</si>
  <si>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</si>
  <si>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</si>
  <si>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</si>
  <si>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</si>
  <si>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</si>
  <si>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</si>
  <si>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</si>
  <si>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</si>
  <si>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</si>
  <si>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</si>
  <si>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</si>
  <si>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</si>
  <si>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</si>
  <si>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</si>
  <si>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</si>
  <si>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</si>
  <si>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</si>
  <si>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</si>
  <si>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</si>
  <si>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</si>
  <si>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</si>
  <si>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</si>
  <si>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</si>
  <si>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</si>
  <si>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</si>
  <si>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</si>
  <si>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</si>
  <si>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</si>
  <si>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</si>
  <si>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</si>
  <si>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</si>
  <si>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</si>
  <si>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</si>
  <si>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</si>
  <si>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</si>
  <si>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</si>
  <si>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</si>
  <si>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</si>
  <si>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</si>
  <si>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</si>
  <si>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</si>
  <si>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</si>
  <si>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</si>
  <si>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</si>
  <si>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</si>
  <si>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</si>
  <si>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</si>
  <si>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</si>
  <si>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</si>
  <si>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</si>
  <si>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</si>
  <si>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</si>
  <si>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</si>
  <si>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</si>
  <si>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</si>
  <si>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</si>
  <si>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</si>
  <si>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</si>
  <si>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</si>
  <si>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</si>
  <si>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</si>
  <si>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</si>
  <si>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</si>
  <si>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</si>
  <si>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</si>
  <si>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</si>
  <si>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</si>
  <si>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</si>
  <si>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</si>
  <si>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</si>
  <si>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</si>
  <si>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</si>
  <si>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</si>
  <si>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</si>
  <si>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</si>
  <si>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</si>
  <si>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</si>
  <si>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</si>
  <si>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</si>
  <si>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</si>
  <si>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</si>
  <si>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</si>
  <si>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</si>
  <si>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</si>
  <si>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</si>
  <si>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</si>
  <si>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</si>
  <si>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</si>
  <si>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</si>
  <si>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</si>
  <si>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</si>
  <si>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</si>
  <si>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</si>
  <si>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</si>
  <si>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</si>
  <si>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</si>
  <si>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</si>
  <si>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</si>
  <si>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</si>
  <si>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</si>
  <si>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</si>
  <si>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</si>
  <si>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</si>
  <si>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</si>
  <si>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</si>
  <si>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</si>
  <si>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</si>
  <si>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</si>
  <si>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</si>
  <si>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</si>
  <si>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</si>
  <si>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</si>
  <si>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</si>
  <si>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24007</t>
  </si>
  <si>
    <t>BEGIJNENDIJK</t>
  </si>
  <si>
    <t>Eandis (januari 2018); Infrax (juni 2018)</t>
  </si>
  <si>
    <t>MOW (september 2017)</t>
  </si>
  <si>
    <t>referentietaak LNE (2017); Jaarverslag De Lijn (2016)</t>
  </si>
  <si>
    <t>VEA (april 2018)</t>
  </si>
  <si>
    <t>VEA (januari 2017)</t>
  </si>
  <si>
    <t>VEA (juni 2018)</t>
  </si>
  <si>
    <t>WKK-0655 Ivan Stuyven</t>
  </si>
  <si>
    <t>brandstofcel</t>
  </si>
  <si>
    <t>Aarschotsesteenweg 2 , 3130 Betekom</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</si>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</sst>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95673.79530634555</c:v>
                </c:pt>
                <c:pt idx="1">
                  <c:v>10722.019325970401</c:v>
                </c:pt>
                <c:pt idx="2">
                  <c:v>546.03899999999999</c:v>
                </c:pt>
                <c:pt idx="3">
                  <c:v>906.58276273221418</c:v>
                </c:pt>
                <c:pt idx="4">
                  <c:v>2196.1543651993443</c:v>
                </c:pt>
                <c:pt idx="5">
                  <c:v>60592.250386188847</c:v>
                </c:pt>
                <c:pt idx="6">
                  <c:v>292.08163949832999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95673.79530634555</c:v>
                </c:pt>
                <c:pt idx="1">
                  <c:v>10722.019325970401</c:v>
                </c:pt>
                <c:pt idx="2">
                  <c:v>546.03899999999999</c:v>
                </c:pt>
                <c:pt idx="3">
                  <c:v>906.58276273221418</c:v>
                </c:pt>
                <c:pt idx="4">
                  <c:v>2196.1543651993443</c:v>
                </c:pt>
                <c:pt idx="5">
                  <c:v>60592.250386188847</c:v>
                </c:pt>
                <c:pt idx="6">
                  <c:v>292.08163949832999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20718.751901364121</c:v>
                </c:pt>
                <c:pt idx="1">
                  <c:v>2061.4702030696453</c:v>
                </c:pt>
                <c:pt idx="2">
                  <c:v>103.6387211157637</c:v>
                </c:pt>
                <c:pt idx="3">
                  <c:v>228.10336853859803</c:v>
                </c:pt>
                <c:pt idx="4">
                  <c:v>427.29978671996133</c:v>
                </c:pt>
                <c:pt idx="5">
                  <c:v>15151.441041961441</c:v>
                </c:pt>
                <c:pt idx="6">
                  <c:v>73.794590762596329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20718.751901364121</c:v>
                </c:pt>
                <c:pt idx="1">
                  <c:v>2061.4702030696453</c:v>
                </c:pt>
                <c:pt idx="2">
                  <c:v>103.6387211157637</c:v>
                </c:pt>
                <c:pt idx="3">
                  <c:v>228.10336853859803</c:v>
                </c:pt>
                <c:pt idx="4">
                  <c:v>427.29978671996133</c:v>
                </c:pt>
                <c:pt idx="5">
                  <c:v>15151.441041961441</c:v>
                </c:pt>
                <c:pt idx="6">
                  <c:v>73.794590762596329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24007</v>
      </c>
      <c r="B6" s="415"/>
      <c r="C6" s="416"/>
    </row>
    <row r="7" spans="1:7" s="413" customFormat="1" ht="15.75" customHeight="1">
      <c r="A7" s="417" t="str">
        <f>txtMunicipality</f>
        <v>BEGIJNENDIJK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4107</v>
      </c>
      <c r="C9" s="342">
        <v>4404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364.97</v>
      </c>
    </row>
    <row r="15" spans="1:6">
      <c r="A15" s="348" t="s">
        <v>184</v>
      </c>
      <c r="B15" s="334">
        <v>0</v>
      </c>
    </row>
    <row r="16" spans="1:6">
      <c r="A16" s="348" t="s">
        <v>6</v>
      </c>
      <c r="B16" s="334">
        <v>0</v>
      </c>
    </row>
    <row r="17" spans="1:6">
      <c r="A17" s="348" t="s">
        <v>7</v>
      </c>
      <c r="B17" s="334">
        <v>31</v>
      </c>
    </row>
    <row r="18" spans="1:6">
      <c r="A18" s="348" t="s">
        <v>8</v>
      </c>
      <c r="B18" s="334">
        <v>30</v>
      </c>
    </row>
    <row r="19" spans="1:6">
      <c r="A19" s="348" t="s">
        <v>9</v>
      </c>
      <c r="B19" s="334">
        <v>25</v>
      </c>
    </row>
    <row r="20" spans="1:6">
      <c r="A20" s="348" t="s">
        <v>10</v>
      </c>
      <c r="B20" s="334">
        <v>14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40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1340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1337</v>
      </c>
      <c r="D39" s="334">
        <v>20498978.149999999</v>
      </c>
      <c r="E39" s="334">
        <v>4073</v>
      </c>
      <c r="F39" s="334">
        <v>14671796.199999999</v>
      </c>
    </row>
    <row r="40" spans="1:6">
      <c r="A40" s="348" t="s">
        <v>30</v>
      </c>
      <c r="B40" s="348" t="s">
        <v>29</v>
      </c>
      <c r="C40" s="334">
        <v>0</v>
      </c>
      <c r="D40" s="334">
        <v>0</v>
      </c>
      <c r="E40" s="334">
        <v>0</v>
      </c>
      <c r="F40" s="334">
        <v>0</v>
      </c>
    </row>
    <row r="41" spans="1:6">
      <c r="A41" s="348" t="s">
        <v>32</v>
      </c>
      <c r="B41" s="348" t="s">
        <v>33</v>
      </c>
      <c r="C41" s="334">
        <v>29</v>
      </c>
      <c r="D41" s="334">
        <v>444166.40000000002</v>
      </c>
      <c r="E41" s="334">
        <v>88</v>
      </c>
      <c r="F41" s="334">
        <v>512103.69999999995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242330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3</v>
      </c>
      <c r="D50" s="334">
        <v>68505</v>
      </c>
      <c r="E50" s="334">
        <v>8</v>
      </c>
      <c r="F50" s="334">
        <v>194292</v>
      </c>
    </row>
    <row r="51" spans="1:6">
      <c r="A51" s="348" t="s">
        <v>42</v>
      </c>
      <c r="B51" s="348" t="s">
        <v>43</v>
      </c>
      <c r="C51" s="334">
        <v>3</v>
      </c>
      <c r="D51" s="334">
        <v>58684</v>
      </c>
      <c r="E51" s="334">
        <v>22</v>
      </c>
      <c r="F51" s="334">
        <v>159853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546039</v>
      </c>
    </row>
    <row r="55" spans="1:6">
      <c r="A55" s="348" t="s">
        <v>46</v>
      </c>
      <c r="B55" s="348" t="s">
        <v>29</v>
      </c>
      <c r="C55" s="334">
        <v>0</v>
      </c>
      <c r="D55" s="334">
        <v>0</v>
      </c>
      <c r="E55" s="334">
        <v>0</v>
      </c>
      <c r="F55" s="334">
        <v>0</v>
      </c>
    </row>
    <row r="56" spans="1:6">
      <c r="A56" s="348" t="s">
        <v>48</v>
      </c>
      <c r="B56" s="348" t="s">
        <v>29</v>
      </c>
      <c r="C56" s="334">
        <v>5</v>
      </c>
      <c r="D56" s="334">
        <v>522479</v>
      </c>
      <c r="E56" s="334">
        <v>9</v>
      </c>
      <c r="F56" s="334">
        <v>524770</v>
      </c>
    </row>
    <row r="57" spans="1:6">
      <c r="A57" s="348" t="s">
        <v>49</v>
      </c>
      <c r="B57" s="348" t="s">
        <v>50</v>
      </c>
      <c r="C57" s="334">
        <v>6</v>
      </c>
      <c r="D57" s="334">
        <v>190873</v>
      </c>
      <c r="E57" s="334">
        <v>38</v>
      </c>
      <c r="F57" s="334">
        <v>596053</v>
      </c>
    </row>
    <row r="58" spans="1:6">
      <c r="A58" s="348" t="s">
        <v>49</v>
      </c>
      <c r="B58" s="348" t="s">
        <v>51</v>
      </c>
      <c r="C58" s="334">
        <v>4</v>
      </c>
      <c r="D58" s="334">
        <v>73649</v>
      </c>
      <c r="E58" s="334">
        <v>18</v>
      </c>
      <c r="F58" s="334">
        <v>471939</v>
      </c>
    </row>
    <row r="59" spans="1:6">
      <c r="A59" s="348" t="s">
        <v>49</v>
      </c>
      <c r="B59" s="348" t="s">
        <v>52</v>
      </c>
      <c r="C59" s="334">
        <v>29</v>
      </c>
      <c r="D59" s="334">
        <v>696525</v>
      </c>
      <c r="E59" s="334">
        <v>91</v>
      </c>
      <c r="F59" s="334">
        <v>3282896.8</v>
      </c>
    </row>
    <row r="60" spans="1:6">
      <c r="A60" s="348" t="s">
        <v>49</v>
      </c>
      <c r="B60" s="348" t="s">
        <v>53</v>
      </c>
      <c r="C60" s="334">
        <v>17</v>
      </c>
      <c r="D60" s="334">
        <v>571421</v>
      </c>
      <c r="E60" s="334">
        <v>36</v>
      </c>
      <c r="F60" s="334">
        <v>770091</v>
      </c>
    </row>
    <row r="61" spans="1:6">
      <c r="A61" s="348" t="s">
        <v>49</v>
      </c>
      <c r="B61" s="348" t="s">
        <v>54</v>
      </c>
      <c r="C61" s="334">
        <v>32</v>
      </c>
      <c r="D61" s="334">
        <v>1571090</v>
      </c>
      <c r="E61" s="334">
        <v>100</v>
      </c>
      <c r="F61" s="334">
        <v>1040619.2</v>
      </c>
    </row>
    <row r="62" spans="1:6">
      <c r="A62" s="348" t="s">
        <v>49</v>
      </c>
      <c r="B62" s="348" t="s">
        <v>55</v>
      </c>
      <c r="C62" s="334">
        <v>0</v>
      </c>
      <c r="D62" s="334">
        <v>0</v>
      </c>
      <c r="E62" s="334">
        <v>0</v>
      </c>
      <c r="F62" s="334">
        <v>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37648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43153160</v>
      </c>
      <c r="E73" s="476">
        <v>43662621.464231305</v>
      </c>
    </row>
    <row r="74" spans="1:6">
      <c r="A74" s="348" t="s">
        <v>64</v>
      </c>
      <c r="B74" s="348" t="s">
        <v>657</v>
      </c>
      <c r="C74" s="1213" t="s">
        <v>659</v>
      </c>
      <c r="D74" s="476">
        <v>4153235.2889394904</v>
      </c>
      <c r="E74" s="476">
        <v>4184886.9596714717</v>
      </c>
    </row>
    <row r="75" spans="1:6">
      <c r="A75" s="348" t="s">
        <v>65</v>
      </c>
      <c r="B75" s="348" t="s">
        <v>656</v>
      </c>
      <c r="C75" s="1213" t="s">
        <v>660</v>
      </c>
      <c r="D75" s="476">
        <v>24541980</v>
      </c>
      <c r="E75" s="476">
        <v>24800379.962262891</v>
      </c>
    </row>
    <row r="76" spans="1:6">
      <c r="A76" s="348" t="s">
        <v>65</v>
      </c>
      <c r="B76" s="348" t="s">
        <v>657</v>
      </c>
      <c r="C76" s="1213" t="s">
        <v>661</v>
      </c>
      <c r="D76" s="476">
        <v>394123.28893949027</v>
      </c>
      <c r="E76" s="476">
        <v>399303.99036477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79217.422121019452</v>
      </c>
      <c r="C83" s="476">
        <v>79325.225310950409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2926.8605732710057</v>
      </c>
    </row>
    <row r="92" spans="1:6">
      <c r="A92" s="341" t="s">
        <v>69</v>
      </c>
      <c r="B92" s="342">
        <v>665.54916050066333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158</v>
      </c>
    </row>
    <row r="98" spans="1:6">
      <c r="A98" s="348" t="s">
        <v>72</v>
      </c>
      <c r="B98" s="334">
        <v>0</v>
      </c>
    </row>
    <row r="99" spans="1:6">
      <c r="A99" s="348" t="s">
        <v>73</v>
      </c>
      <c r="B99" s="334">
        <v>129</v>
      </c>
    </row>
    <row r="100" spans="1:6">
      <c r="A100" s="348" t="s">
        <v>74</v>
      </c>
      <c r="B100" s="334">
        <v>217</v>
      </c>
    </row>
    <row r="101" spans="1:6">
      <c r="A101" s="348" t="s">
        <v>75</v>
      </c>
      <c r="B101" s="334">
        <v>34</v>
      </c>
    </row>
    <row r="102" spans="1:6">
      <c r="A102" s="348" t="s">
        <v>76</v>
      </c>
      <c r="B102" s="334">
        <v>22</v>
      </c>
    </row>
    <row r="103" spans="1:6">
      <c r="A103" s="348" t="s">
        <v>77</v>
      </c>
      <c r="B103" s="334">
        <v>93</v>
      </c>
    </row>
    <row r="104" spans="1:6">
      <c r="A104" s="348" t="s">
        <v>78</v>
      </c>
      <c r="B104" s="334">
        <v>2805</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0</v>
      </c>
    </row>
    <row r="131" spans="1:6">
      <c r="A131" s="348" t="s">
        <v>296</v>
      </c>
      <c r="B131" s="334">
        <v>0</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25446.4632989862</v>
      </c>
      <c r="C3" s="43" t="s">
        <v>170</v>
      </c>
      <c r="D3" s="43"/>
      <c r="E3" s="154"/>
      <c r="F3" s="43"/>
      <c r="G3" s="43"/>
      <c r="H3" s="43"/>
      <c r="I3" s="43"/>
      <c r="J3" s="43"/>
      <c r="K3" s="96"/>
    </row>
    <row r="4" spans="1:11">
      <c r="A4" s="383" t="s">
        <v>171</v>
      </c>
      <c r="B4" s="49">
        <f>IF(ISERROR('SEAP template'!B69),0,'SEAP template'!B69)</f>
        <v>3597.3680671050024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1.1128703703703704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0.18980095032729111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1.5941116116116119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7.1024774774774784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546.03899999999999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546.03899999999999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0.18980095032729111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103.6387211157637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14671.796199999999</v>
      </c>
      <c r="C5" s="17">
        <f>IF(ISERROR('Eigen informatie GS &amp; warmtenet'!B57),0,'Eigen informatie GS &amp; warmtenet'!B57)</f>
        <v>0</v>
      </c>
      <c r="D5" s="30">
        <f>(SUM(HH_hh_gas_kWh,HH_rest_gas_kWh)/1000)*0.902</f>
        <v>18490.0782913</v>
      </c>
      <c r="E5" s="17">
        <f>B46*B57</f>
        <v>7001.6591439908279</v>
      </c>
      <c r="F5" s="17">
        <f>B51*B62</f>
        <v>45146.583074100934</v>
      </c>
      <c r="G5" s="18"/>
      <c r="H5" s="17"/>
      <c r="I5" s="17"/>
      <c r="J5" s="17">
        <f>B50*B61+C50*C61</f>
        <v>0</v>
      </c>
      <c r="K5" s="17"/>
      <c r="L5" s="17"/>
      <c r="M5" s="17"/>
      <c r="N5" s="17">
        <f>B48*B59+C48*C59</f>
        <v>6289.0180236827973</v>
      </c>
      <c r="O5" s="17">
        <f>B69*B70*B71</f>
        <v>156.33333333333334</v>
      </c>
      <c r="P5" s="17">
        <f>B77*B78*B79/1000-B77*B78*B79/1000/B80</f>
        <v>991.4666666666667</v>
      </c>
    </row>
    <row r="6" spans="1:16">
      <c r="A6" s="16" t="s">
        <v>621</v>
      </c>
      <c r="B6" s="843">
        <f>kWh_PV_kleiner_dan_10kW</f>
        <v>2926.8605732710057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17598.656773271003</v>
      </c>
      <c r="C8" s="21">
        <f>C5</f>
        <v>0</v>
      </c>
      <c r="D8" s="21">
        <f>D5</f>
        <v>18490.0782913</v>
      </c>
      <c r="E8" s="21">
        <f>E5</f>
        <v>7001.6591439908279</v>
      </c>
      <c r="F8" s="21">
        <f>F5</f>
        <v>45146.583074100934</v>
      </c>
      <c r="G8" s="21"/>
      <c r="H8" s="21"/>
      <c r="I8" s="21"/>
      <c r="J8" s="21">
        <f>J5</f>
        <v>0</v>
      </c>
      <c r="K8" s="21"/>
      <c r="L8" s="21">
        <f>L5</f>
        <v>0</v>
      </c>
      <c r="M8" s="21">
        <f>M5</f>
        <v>0</v>
      </c>
      <c r="N8" s="21">
        <f>N5</f>
        <v>6289.0180236827973</v>
      </c>
      <c r="O8" s="21">
        <f>O5</f>
        <v>156.33333333333334</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0.18980095032729111</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3340.2417800506546</v>
      </c>
      <c r="C12" s="23">
        <f ca="1">C10*C8</f>
        <v>0</v>
      </c>
      <c r="D12" s="23">
        <f>D8*D10</f>
        <v>3734.9958148426003</v>
      </c>
      <c r="E12" s="23">
        <f>E10*E8</f>
        <v>1589.376625685918</v>
      </c>
      <c r="F12" s="23">
        <f>F10*F8</f>
        <v>12054.13768078495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158</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33.94736842105263</v>
      </c>
      <c r="D20" s="229"/>
      <c r="E20" s="15"/>
    </row>
    <row r="21" spans="1:7">
      <c r="A21" s="171" t="s">
        <v>74</v>
      </c>
      <c r="B21" s="37">
        <f>aantalw2001_elektriciteit</f>
        <v>217</v>
      </c>
      <c r="C21" s="167">
        <f>IF(ISERROR(B21/SUM($B$20,$B$21,$B$22)*100),0,B21/SUM($B$20,$B$21,$B$22)*100)</f>
        <v>57.10526315789474</v>
      </c>
      <c r="D21" s="229"/>
      <c r="E21" s="15"/>
    </row>
    <row r="22" spans="1:7">
      <c r="A22" s="171" t="s">
        <v>75</v>
      </c>
      <c r="B22" s="37">
        <f>aantalw2001_hout</f>
        <v>34</v>
      </c>
      <c r="C22" s="167">
        <f>IF(ISERROR(B22/SUM($B$20,$B$21,$B$22)*100),0,B22/SUM($B$20,$B$21,$B$22)*100)</f>
        <v>8.9473684210526319</v>
      </c>
      <c r="D22" s="229"/>
      <c r="E22" s="15"/>
    </row>
    <row r="23" spans="1:7">
      <c r="A23" s="171" t="s">
        <v>76</v>
      </c>
      <c r="B23" s="37">
        <f>aantalw2001_niet_gespec</f>
        <v>22</v>
      </c>
      <c r="C23" s="166" t="s">
        <v>111</v>
      </c>
      <c r="D23" s="228"/>
      <c r="E23" s="15"/>
    </row>
    <row r="24" spans="1:7">
      <c r="A24" s="171" t="s">
        <v>77</v>
      </c>
      <c r="B24" s="37">
        <f>aantalw2001_steenkool</f>
        <v>93</v>
      </c>
      <c r="C24" s="166" t="s">
        <v>111</v>
      </c>
      <c r="D24" s="229"/>
      <c r="E24" s="15"/>
    </row>
    <row r="25" spans="1:7">
      <c r="A25" s="171" t="s">
        <v>78</v>
      </c>
      <c r="B25" s="37">
        <f>aantalw2001_stookolie</f>
        <v>2805</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4107</v>
      </c>
      <c r="C28" s="36"/>
      <c r="D28" s="228"/>
    </row>
    <row r="29" spans="1:7" s="15" customFormat="1">
      <c r="A29" s="230" t="s">
        <v>795</v>
      </c>
      <c r="B29" s="37">
        <f>SUM(HH_hh_gas_aantal,HH_rest_gas_aantal)</f>
        <v>1337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1337</v>
      </c>
      <c r="C32" s="167">
        <f>IF(ISERROR(B32/SUM($B$32,$B$34,$B$35,$B$36,$B$38,$B$39)*100),0,B32/SUM($B$32,$B$34,$B$35,$B$36,$B$38,$B$39)*100)</f>
        <v>32.971639950678181</v>
      </c>
      <c r="D32" s="233"/>
      <c r="G32" s="15"/>
    </row>
    <row r="33" spans="1:7">
      <c r="A33" s="171" t="s">
        <v>72</v>
      </c>
      <c r="B33" s="34" t="s">
        <v>111</v>
      </c>
      <c r="C33" s="167"/>
      <c r="D33" s="233"/>
      <c r="G33" s="15"/>
    </row>
    <row r="34" spans="1:7">
      <c r="A34" s="171" t="s">
        <v>73</v>
      </c>
      <c r="B34" s="33">
        <f>IF((($B$28-$B$32-$B$39-$B$77-$B$38)*C20/100)&lt;0,0,($B$28-$B$32-$B$39-$B$77-$B$38)*C20/100)</f>
        <v>330.68131578947373</v>
      </c>
      <c r="C34" s="167">
        <f>IF(ISERROR(B34/SUM($B$32,$B$34,$B$35,$B$36,$B$38,$B$39)*100),0,B34/SUM($B$32,$B$34,$B$35,$B$36,$B$38,$B$39)*100)</f>
        <v>8.1549029787786367</v>
      </c>
      <c r="D34" s="233"/>
      <c r="G34" s="15"/>
    </row>
    <row r="35" spans="1:7">
      <c r="A35" s="171" t="s">
        <v>74</v>
      </c>
      <c r="B35" s="33">
        <f>IF((($B$28-$B$32-$B$39-$B$77-$B$38)*C21/100)&lt;0,0,($B$28-$B$32-$B$39-$B$77-$B$38)*C21/100)</f>
        <v>556.26236842105277</v>
      </c>
      <c r="C35" s="167">
        <f>IF(ISERROR(B35/SUM($B$32,$B$34,$B$35,$B$36,$B$38,$B$39)*100),0,B35/SUM($B$32,$B$34,$B$35,$B$36,$B$38,$B$39)*100)</f>
        <v>13.717937568953213</v>
      </c>
      <c r="D35" s="233"/>
      <c r="G35" s="15"/>
    </row>
    <row r="36" spans="1:7">
      <c r="A36" s="171" t="s">
        <v>75</v>
      </c>
      <c r="B36" s="33">
        <f>IF((($B$28-$B$32-$B$39-$B$77-$B$38)*C22/100)&lt;0,0,($B$28-$B$32-$B$39-$B$77-$B$38)*C22/100)</f>
        <v>87.156315789473695</v>
      </c>
      <c r="C36" s="167">
        <f>IF(ISERROR(B36/SUM($B$32,$B$34,$B$35,$B$36,$B$38,$B$39)*100),0,B36/SUM($B$32,$B$34,$B$35,$B$36,$B$38,$B$39)*100)</f>
        <v>2.1493542734765398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1743.8999999999999</v>
      </c>
      <c r="C39" s="167">
        <f>IF(ISERROR(B39/SUM($B$32,$B$34,$B$35,$B$36,$B$38,$B$39)*100),0,B39/SUM($B$32,$B$34,$B$35,$B$36,$B$38,$B$39)*100)</f>
        <v>43.006165228113439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1337</v>
      </c>
      <c r="C44" s="34" t="s">
        <v>111</v>
      </c>
      <c r="D44" s="174"/>
    </row>
    <row r="45" spans="1:7">
      <c r="A45" s="171" t="s">
        <v>72</v>
      </c>
      <c r="B45" s="33" t="str">
        <f t="shared" si="0"/>
        <v>-</v>
      </c>
      <c r="C45" s="34" t="s">
        <v>111</v>
      </c>
      <c r="D45" s="174"/>
    </row>
    <row r="46" spans="1:7">
      <c r="A46" s="171" t="s">
        <v>73</v>
      </c>
      <c r="B46" s="33">
        <f t="shared" si="0"/>
        <v>330.68131578947373</v>
      </c>
      <c r="C46" s="34" t="s">
        <v>111</v>
      </c>
      <c r="D46" s="174"/>
    </row>
    <row r="47" spans="1:7">
      <c r="A47" s="171" t="s">
        <v>74</v>
      </c>
      <c r="B47" s="33">
        <f t="shared" si="0"/>
        <v>556.26236842105277</v>
      </c>
      <c r="C47" s="34" t="s">
        <v>111</v>
      </c>
      <c r="D47" s="174"/>
    </row>
    <row r="48" spans="1:7">
      <c r="A48" s="171" t="s">
        <v>75</v>
      </c>
      <c r="B48" s="33">
        <f t="shared" si="0"/>
        <v>87.156315789473695</v>
      </c>
      <c r="C48" s="33">
        <f>B48*10</f>
        <v>871.56315789473695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1743.8999999999999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6161.5990000000002</v>
      </c>
      <c r="C5" s="17">
        <f>IF(ISERROR('Eigen informatie GS &amp; warmtenet'!B58),0,'Eigen informatie GS &amp; warmtenet'!B58)</f>
        <v>0</v>
      </c>
      <c r="D5" s="30">
        <f>SUM(D6:D12)</f>
        <v>2799.4093160000002</v>
      </c>
      <c r="E5" s="17">
        <f>SUM(E6:E12)</f>
        <v>130.84438112729163</v>
      </c>
      <c r="F5" s="17">
        <f>SUM(F6:F12)</f>
        <v>1112.2760109920318</v>
      </c>
      <c r="G5" s="18"/>
      <c r="H5" s="17"/>
      <c r="I5" s="17"/>
      <c r="J5" s="17">
        <f>SUM(J6:J12)</f>
        <v>1.293797416675433E-2</v>
      </c>
      <c r="K5" s="17"/>
      <c r="L5" s="17"/>
      <c r="M5" s="17"/>
      <c r="N5" s="17">
        <f>SUM(N6:N12)</f>
        <v>519.21776996700032</v>
      </c>
      <c r="O5" s="17">
        <f>B38*B39*B40</f>
        <v>0</v>
      </c>
      <c r="P5" s="17">
        <f>B46*B47*B48/1000-B46*B47*B48/1000/B49</f>
        <v>0</v>
      </c>
      <c r="R5" s="32"/>
    </row>
    <row r="6" spans="1:18">
      <c r="A6" s="32" t="s">
        <v>54</v>
      </c>
      <c r="B6" s="37">
        <f>B26</f>
        <v>1040.6191999999999</v>
      </c>
      <c r="C6" s="33"/>
      <c r="D6" s="37">
        <f>IF(ISERROR(TER_kantoor_gas_kWh/1000),0,TER_kantoor_gas_kWh/1000)*0.902</f>
        <v>1417.12318</v>
      </c>
      <c r="E6" s="33">
        <f>$C$26*'E Balans VL '!I12/100/3.6*1000000</f>
        <v>6.5222550410762936E-3</v>
      </c>
      <c r="F6" s="33">
        <f>$C$26*('E Balans VL '!L12+'E Balans VL '!N12)/100/3.6*1000000</f>
        <v>156.37598808630483</v>
      </c>
      <c r="G6" s="34"/>
      <c r="H6" s="33"/>
      <c r="I6" s="33"/>
      <c r="J6" s="33">
        <f>$C$26*('E Balans VL '!D12+'E Balans VL '!E12)/100/3.6*1000000</f>
        <v>0</v>
      </c>
      <c r="K6" s="33"/>
      <c r="L6" s="33"/>
      <c r="M6" s="33"/>
      <c r="N6" s="33">
        <f>$C$26*'E Balans VL '!Y12/100/3.6*1000000</f>
        <v>0.99519797607131177</v>
      </c>
      <c r="O6" s="33"/>
      <c r="P6" s="33"/>
      <c r="R6" s="32"/>
    </row>
    <row r="7" spans="1:18">
      <c r="A7" s="32" t="s">
        <v>53</v>
      </c>
      <c r="B7" s="37">
        <f t="shared" ref="B7:B12" si="0">B27</f>
        <v>770.09100000000001</v>
      </c>
      <c r="C7" s="33"/>
      <c r="D7" s="37">
        <f>IF(ISERROR(TER_horeca_gas_kWh/1000),0,TER_horeca_gas_kWh/1000)*0.902</f>
        <v>515.42174200000011</v>
      </c>
      <c r="E7" s="33">
        <f>$C$27*'E Balans VL '!I9/100/3.6*1000000</f>
        <v>11.027574847326408</v>
      </c>
      <c r="F7" s="33">
        <f>$C$27*('E Balans VL '!L9+'E Balans VL '!N9)/100/3.6*1000000</f>
        <v>97.518919179682214</v>
      </c>
      <c r="G7" s="34"/>
      <c r="H7" s="33"/>
      <c r="I7" s="33"/>
      <c r="J7" s="33">
        <f>$C$27*('E Balans VL '!D9+'E Balans VL '!E9)/100/3.6*1000000</f>
        <v>0</v>
      </c>
      <c r="K7" s="33"/>
      <c r="L7" s="33"/>
      <c r="M7" s="33"/>
      <c r="N7" s="33">
        <f>$C$27*'E Balans VL '!Y9/100/3.6*1000000</f>
        <v>0.22138418345092589</v>
      </c>
      <c r="O7" s="33"/>
      <c r="P7" s="33"/>
      <c r="R7" s="32"/>
    </row>
    <row r="8" spans="1:18">
      <c r="A8" s="6" t="s">
        <v>52</v>
      </c>
      <c r="B8" s="37">
        <f t="shared" si="0"/>
        <v>3282.8968</v>
      </c>
      <c r="C8" s="33"/>
      <c r="D8" s="37">
        <f>IF(ISERROR(TER_handel_gas_kWh/1000),0,TER_handel_gas_kWh/1000)*0.902</f>
        <v>628.26554999999996</v>
      </c>
      <c r="E8" s="33">
        <f>$C$28*'E Balans VL '!I13/100/3.6*1000000</f>
        <v>119.07026210730356</v>
      </c>
      <c r="F8" s="33">
        <f>$C$28*('E Balans VL '!L13+'E Balans VL '!N13)/100/3.6*1000000</f>
        <v>632.31916512352495</v>
      </c>
      <c r="G8" s="34"/>
      <c r="H8" s="33"/>
      <c r="I8" s="33"/>
      <c r="J8" s="33">
        <f>$C$28*('E Balans VL '!D13+'E Balans VL '!E13)/100/3.6*1000000</f>
        <v>0</v>
      </c>
      <c r="K8" s="33"/>
      <c r="L8" s="33"/>
      <c r="M8" s="33"/>
      <c r="N8" s="33">
        <f>$C$28*'E Balans VL '!Y13/100/3.6*1000000</f>
        <v>4.5475674288655945</v>
      </c>
      <c r="O8" s="33"/>
      <c r="P8" s="33"/>
      <c r="R8" s="32"/>
    </row>
    <row r="9" spans="1:18">
      <c r="A9" s="32" t="s">
        <v>51</v>
      </c>
      <c r="B9" s="37">
        <f t="shared" si="0"/>
        <v>471.93900000000002</v>
      </c>
      <c r="C9" s="33"/>
      <c r="D9" s="37">
        <f>IF(ISERROR(TER_gezond_gas_kWh/1000),0,TER_gezond_gas_kWh/1000)*0.902</f>
        <v>66.431398000000002</v>
      </c>
      <c r="E9" s="33">
        <f>$C$29*'E Balans VL '!I10/100/3.6*1000000</f>
        <v>2.9548040955827574E-2</v>
      </c>
      <c r="F9" s="33">
        <f>$C$29*('E Balans VL '!L10+'E Balans VL '!N10)/100/3.6*1000000</f>
        <v>70.107975367410234</v>
      </c>
      <c r="G9" s="34"/>
      <c r="H9" s="33"/>
      <c r="I9" s="33"/>
      <c r="J9" s="33">
        <f>$C$29*('E Balans VL '!D10+'E Balans VL '!E10)/100/3.6*1000000</f>
        <v>0</v>
      </c>
      <c r="K9" s="33"/>
      <c r="L9" s="33"/>
      <c r="M9" s="33"/>
      <c r="N9" s="33">
        <f>$C$29*'E Balans VL '!Y10/100/3.6*1000000</f>
        <v>7.2999979902208869</v>
      </c>
      <c r="O9" s="33"/>
      <c r="P9" s="33"/>
      <c r="R9" s="32"/>
    </row>
    <row r="10" spans="1:18">
      <c r="A10" s="32" t="s">
        <v>50</v>
      </c>
      <c r="B10" s="37">
        <f t="shared" si="0"/>
        <v>596.053</v>
      </c>
      <c r="C10" s="33"/>
      <c r="D10" s="37">
        <f>IF(ISERROR(TER_ander_gas_kWh/1000),0,TER_ander_gas_kWh/1000)*0.902</f>
        <v>172.16744599999998</v>
      </c>
      <c r="E10" s="33">
        <f>$C$30*'E Balans VL '!I14/100/3.6*1000000</f>
        <v>0.71047387666473538</v>
      </c>
      <c r="F10" s="33">
        <f>$C$30*('E Balans VL '!L14+'E Balans VL '!N14)/100/3.6*1000000</f>
        <v>155.95396323510963</v>
      </c>
      <c r="G10" s="34"/>
      <c r="H10" s="33"/>
      <c r="I10" s="33"/>
      <c r="J10" s="33">
        <f>$C$30*('E Balans VL '!D14+'E Balans VL '!E14)/100/3.6*1000000</f>
        <v>1.293797416675433E-2</v>
      </c>
      <c r="K10" s="33"/>
      <c r="L10" s="33"/>
      <c r="M10" s="33"/>
      <c r="N10" s="33">
        <f>$C$30*'E Balans VL '!Y14/100/3.6*1000000</f>
        <v>506.15362238839157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4.9583333333333339</v>
      </c>
      <c r="C13" s="247">
        <f ca="1">'lokale energieproductie'!O90+'lokale energieproductie'!O59</f>
        <v>7.1024774774774784</v>
      </c>
      <c r="D13" s="310">
        <f ca="1">('lokale energieproductie'!P59+'lokale energieproductie'!P90)*(-1)</f>
        <v>-13.400900900900902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6166.5573333333332</v>
      </c>
      <c r="C16" s="21">
        <f t="shared" ca="1" si="1"/>
        <v>7.1024774774774784</v>
      </c>
      <c r="D16" s="21">
        <f t="shared" ca="1" si="1"/>
        <v>2786.0084150990992</v>
      </c>
      <c r="E16" s="21">
        <f t="shared" si="1"/>
        <v>130.84438112729163</v>
      </c>
      <c r="F16" s="21">
        <f t="shared" ca="1" si="1"/>
        <v>1112.2760109920318</v>
      </c>
      <c r="G16" s="21">
        <f t="shared" si="1"/>
        <v>0</v>
      </c>
      <c r="H16" s="21">
        <f t="shared" si="1"/>
        <v>0</v>
      </c>
      <c r="I16" s="21">
        <f t="shared" si="1"/>
        <v>0</v>
      </c>
      <c r="J16" s="21">
        <f t="shared" si="1"/>
        <v>1.293797416675433E-2</v>
      </c>
      <c r="K16" s="21">
        <f t="shared" si="1"/>
        <v>0</v>
      </c>
      <c r="L16" s="21">
        <f t="shared" ca="1" si="1"/>
        <v>0</v>
      </c>
      <c r="M16" s="21">
        <f t="shared" si="1"/>
        <v>0</v>
      </c>
      <c r="N16" s="21">
        <f t="shared" ca="1" si="1"/>
        <v>519.21776996700032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0.18980095032729111</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1170.4184421143927</v>
      </c>
      <c r="C20" s="23">
        <f t="shared" ref="C20:P20" ca="1" si="2">C16*C18</f>
        <v>1.5941116116116119</v>
      </c>
      <c r="D20" s="23">
        <f t="shared" ca="1" si="2"/>
        <v>562.77369985001803</v>
      </c>
      <c r="E20" s="23">
        <f t="shared" si="2"/>
        <v>29.701674515895199</v>
      </c>
      <c r="F20" s="23">
        <f t="shared" ca="1" si="2"/>
        <v>296.97769493487255</v>
      </c>
      <c r="G20" s="23">
        <f t="shared" si="2"/>
        <v>0</v>
      </c>
      <c r="H20" s="23">
        <f t="shared" si="2"/>
        <v>0</v>
      </c>
      <c r="I20" s="23">
        <f t="shared" si="2"/>
        <v>0</v>
      </c>
      <c r="J20" s="23">
        <f t="shared" si="2"/>
        <v>4.5800428550310324E-3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1040.6191999999999</v>
      </c>
      <c r="C26" s="39">
        <f>IF(ISERROR(B26*3.6/1000000/'E Balans VL '!Z12*100),0,B26*3.6/1000000/'E Balans VL '!Z12*100)</f>
        <v>2.1997041414031596E-2</v>
      </c>
      <c r="D26" s="237" t="s">
        <v>754</v>
      </c>
      <c r="F26" s="6"/>
    </row>
    <row r="27" spans="1:18">
      <c r="A27" s="231" t="s">
        <v>53</v>
      </c>
      <c r="B27" s="33">
        <f>IF(ISERROR(TER_horeca_ele_kWh/1000),0,TER_horeca_ele_kWh/1000)</f>
        <v>770.09100000000001</v>
      </c>
      <c r="C27" s="39">
        <f>IF(ISERROR(B27*3.6/1000000/'E Balans VL '!Z9*100),0,B27*3.6/1000000/'E Balans VL '!Z9*100)</f>
        <v>6.0705986502431003E-2</v>
      </c>
      <c r="D27" s="237" t="s">
        <v>754</v>
      </c>
      <c r="F27" s="6"/>
    </row>
    <row r="28" spans="1:18">
      <c r="A28" s="171" t="s">
        <v>52</v>
      </c>
      <c r="B28" s="33">
        <f>IF(ISERROR(TER_handel_ele_kWh/1000),0,TER_handel_ele_kWh/1000)</f>
        <v>3282.8968</v>
      </c>
      <c r="C28" s="39">
        <f>IF(ISERROR(B28*3.6/1000000/'E Balans VL '!Z13*100),0,B28*3.6/1000000/'E Balans VL '!Z13*100)</f>
        <v>9.5282929525427801E-2</v>
      </c>
      <c r="D28" s="237" t="s">
        <v>754</v>
      </c>
      <c r="F28" s="6"/>
    </row>
    <row r="29" spans="1:18">
      <c r="A29" s="231" t="s">
        <v>51</v>
      </c>
      <c r="B29" s="33">
        <f>IF(ISERROR(TER_gezond_ele_kWh/1000),0,TER_gezond_ele_kWh/1000)</f>
        <v>471.93900000000002</v>
      </c>
      <c r="C29" s="39">
        <f>IF(ISERROR(B29*3.6/1000000/'E Balans VL '!Z10*100),0,B29*3.6/1000000/'E Balans VL '!Z10*100)</f>
        <v>4.9702926142935352E-2</v>
      </c>
      <c r="D29" s="237" t="s">
        <v>754</v>
      </c>
      <c r="F29" s="6"/>
    </row>
    <row r="30" spans="1:18">
      <c r="A30" s="231" t="s">
        <v>50</v>
      </c>
      <c r="B30" s="33">
        <f>IF(ISERROR(TER_ander_ele_kWh/1000),0,TER_ander_ele_kWh/1000)</f>
        <v>596.053</v>
      </c>
      <c r="C30" s="39">
        <f>IF(ISERROR(B30*3.6/1000000/'E Balans VL '!Z14*100),0,B30*3.6/1000000/'E Balans VL '!Z14*100)</f>
        <v>4.3964998742067614E-2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948.72570000000007</v>
      </c>
      <c r="C5" s="17">
        <f>IF(ISERROR('Eigen informatie GS &amp; warmtenet'!B59),0,'Eigen informatie GS &amp; warmtenet'!B59)</f>
        <v>0</v>
      </c>
      <c r="D5" s="30">
        <f>SUM(D6:D15)</f>
        <v>462.42960280000005</v>
      </c>
      <c r="E5" s="17">
        <f>SUM(E6:E15)</f>
        <v>152.33689903713861</v>
      </c>
      <c r="F5" s="17">
        <f>SUM(F6:F15)</f>
        <v>446.5898554794245</v>
      </c>
      <c r="G5" s="18"/>
      <c r="H5" s="17"/>
      <c r="I5" s="17"/>
      <c r="J5" s="17">
        <f>SUM(J6:J15)</f>
        <v>0</v>
      </c>
      <c r="K5" s="17"/>
      <c r="L5" s="17"/>
      <c r="M5" s="17"/>
      <c r="N5" s="17">
        <f>SUM(N6:N15)</f>
        <v>186.07230788278102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242.33</v>
      </c>
      <c r="C8" s="33"/>
      <c r="D8" s="37">
        <f>IF( ISERROR(IND_metaal_Gas_kWH/1000),0,IND_metaal_Gas_kWH/1000)*0.902</f>
        <v>0</v>
      </c>
      <c r="E8" s="33">
        <f>C30*'E Balans VL '!I18/100/3.6*1000000</f>
        <v>2.2279903054602292</v>
      </c>
      <c r="F8" s="33">
        <f>C30*'E Balans VL '!L18/100/3.6*1000000+C30*'E Balans VL '!N18/100/3.6*1000000</f>
        <v>22.722486017621833</v>
      </c>
      <c r="G8" s="34"/>
      <c r="H8" s="33"/>
      <c r="I8" s="33"/>
      <c r="J8" s="40">
        <f>C30*'E Balans VL '!D18/100/3.6*1000000+C30*'E Balans VL '!E18/100/3.6*1000000</f>
        <v>0</v>
      </c>
      <c r="K8" s="33"/>
      <c r="L8" s="33"/>
      <c r="M8" s="33"/>
      <c r="N8" s="33">
        <f>C30*'E Balans VL '!Y18/100/3.6*1000000</f>
        <v>3.4572379171890932</v>
      </c>
      <c r="O8" s="33"/>
      <c r="P8" s="33"/>
      <c r="R8" s="32"/>
    </row>
    <row r="9" spans="1:18">
      <c r="A9" s="6" t="s">
        <v>33</v>
      </c>
      <c r="B9" s="37">
        <f t="shared" si="0"/>
        <v>512.1037</v>
      </c>
      <c r="C9" s="33"/>
      <c r="D9" s="37">
        <f>IF( ISERROR(IND_andere_gas_kWh/1000),0,IND_andere_gas_kWh/1000)*0.902</f>
        <v>400.63809280000004</v>
      </c>
      <c r="E9" s="33">
        <f>C31*'E Balans VL '!I19/100/3.6*1000000</f>
        <v>149.69788099314525</v>
      </c>
      <c r="F9" s="33">
        <f>C31*'E Balans VL '!L19/100/3.6*1000000+C31*'E Balans VL '!N19/100/3.6*1000000</f>
        <v>411.51408563834457</v>
      </c>
      <c r="G9" s="34"/>
      <c r="H9" s="33"/>
      <c r="I9" s="33"/>
      <c r="J9" s="40">
        <f>C31*'E Balans VL '!D19/100/3.6*1000000+C31*'E Balans VL '!E19/100/3.6*1000000</f>
        <v>0</v>
      </c>
      <c r="K9" s="33"/>
      <c r="L9" s="33"/>
      <c r="M9" s="33"/>
      <c r="N9" s="33">
        <f>C31*'E Balans VL '!Y19/100/3.6*1000000</f>
        <v>169.20700464528699</v>
      </c>
      <c r="O9" s="33"/>
      <c r="P9" s="33"/>
      <c r="R9" s="32"/>
    </row>
    <row r="10" spans="1:18">
      <c r="A10" s="6" t="s">
        <v>41</v>
      </c>
      <c r="B10" s="37">
        <f t="shared" si="0"/>
        <v>194.292</v>
      </c>
      <c r="C10" s="33"/>
      <c r="D10" s="37">
        <f>IF( ISERROR(IND_voed_gas_kWh/1000),0,IND_voed_gas_kWh/1000)*0.902</f>
        <v>61.791509999999995</v>
      </c>
      <c r="E10" s="33">
        <f>C32*'E Balans VL '!I20/100/3.6*1000000</f>
        <v>0.41102773853314001</v>
      </c>
      <c r="F10" s="33">
        <f>C32*'E Balans VL '!L20/100/3.6*1000000+C32*'E Balans VL '!N20/100/3.6*1000000</f>
        <v>12.353283823458147</v>
      </c>
      <c r="G10" s="34"/>
      <c r="H10" s="33"/>
      <c r="I10" s="33"/>
      <c r="J10" s="40">
        <f>C32*'E Balans VL '!D20/100/3.6*1000000+C32*'E Balans VL '!E20/100/3.6*1000000</f>
        <v>0</v>
      </c>
      <c r="K10" s="33"/>
      <c r="L10" s="33"/>
      <c r="M10" s="33"/>
      <c r="N10" s="33">
        <f>C32*'E Balans VL '!Y20/100/3.6*1000000</f>
        <v>13.408065320304921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948.72570000000007</v>
      </c>
      <c r="C18" s="21">
        <f>C5+C16</f>
        <v>0</v>
      </c>
      <c r="D18" s="21">
        <f>MAX((D5+D16),0)</f>
        <v>462.42960280000005</v>
      </c>
      <c r="E18" s="21">
        <f>MAX((E5+E16),0)</f>
        <v>152.33689903713861</v>
      </c>
      <c r="F18" s="21">
        <f>MAX((F5+F16),0)</f>
        <v>446.5898554794245</v>
      </c>
      <c r="G18" s="21"/>
      <c r="H18" s="21"/>
      <c r="I18" s="21"/>
      <c r="J18" s="21">
        <f>MAX((J5+J16),0)</f>
        <v>0</v>
      </c>
      <c r="K18" s="21"/>
      <c r="L18" s="21">
        <f>MAX((L5+L16),0)</f>
        <v>0</v>
      </c>
      <c r="M18" s="21"/>
      <c r="N18" s="21">
        <f>MAX((N5+N16),0)</f>
        <v>186.07230788278102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0.18980095032729111</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180.06903945992451</v>
      </c>
      <c r="C22" s="23">
        <f ca="1">C18*C20</f>
        <v>0</v>
      </c>
      <c r="D22" s="23">
        <f>D18*D20</f>
        <v>93.410779765600012</v>
      </c>
      <c r="E22" s="23">
        <f>E18*E20</f>
        <v>34.580476081430469</v>
      </c>
      <c r="F22" s="23">
        <f>F18*F20</f>
        <v>119.23949141300635</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242.33</v>
      </c>
      <c r="C30" s="39">
        <f>IF(ISERROR(B30*3.6/1000000/'E Balans VL '!Z18*100),0,B30*3.6/1000000/'E Balans VL '!Z18*100)</f>
        <v>1.3733462474760916E-2</v>
      </c>
      <c r="D30" s="237" t="s">
        <v>754</v>
      </c>
    </row>
    <row r="31" spans="1:18">
      <c r="A31" s="6" t="s">
        <v>33</v>
      </c>
      <c r="B31" s="37">
        <f>IF( ISERROR(IND_ander_ele_kWh/1000),0,IND_ander_ele_kWh/1000)</f>
        <v>512.1037</v>
      </c>
      <c r="C31" s="39">
        <f>IF(ISERROR(B31*3.6/1000000/'E Balans VL '!Z19*100),0,B31*3.6/1000000/'E Balans VL '!Z19*100)</f>
        <v>2.3226891469306319E-2</v>
      </c>
      <c r="D31" s="237" t="s">
        <v>754</v>
      </c>
    </row>
    <row r="32" spans="1:18">
      <c r="A32" s="171" t="s">
        <v>41</v>
      </c>
      <c r="B32" s="37">
        <f>IF( ISERROR(IND_voed_ele_kWh/1000),0,IND_voed_ele_kWh/1000)</f>
        <v>194.292</v>
      </c>
      <c r="C32" s="39">
        <f>IF(ISERROR(B32*3.6/1000000/'E Balans VL '!Z20*100),0,B32*3.6/1000000/'E Balans VL '!Z20*100)</f>
        <v>6.0103335712069486E-3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159.85300000000001</v>
      </c>
      <c r="C5" s="17">
        <f>'Eigen informatie GS &amp; warmtenet'!B60</f>
        <v>0</v>
      </c>
      <c r="D5" s="30">
        <f>IF(ISERROR(SUM(LB_lb_gas_kWh,LB_rest_gas_kWh,onbekend_gas_kWh)/1000),0,SUM(LB_lb_gas_kWh,LB_rest_gas_kWh,onbekend_gas_kWh)/1000)*0.902</f>
        <v>52.932968000000002</v>
      </c>
      <c r="E5" s="17">
        <f>B17*'E Balans VL '!I25/3.6*1000000/100</f>
        <v>4.6985679174162494</v>
      </c>
      <c r="F5" s="17">
        <f>B17*('E Balans VL '!L25/3.6*1000000+'E Balans VL '!N25/3.6*1000000)/100</f>
        <v>665.93895999726874</v>
      </c>
      <c r="G5" s="18"/>
      <c r="H5" s="17"/>
      <c r="I5" s="17"/>
      <c r="J5" s="17">
        <f>('E Balans VL '!D25+'E Balans VL '!E25)/3.6*1000000*landbouw!B17/100</f>
        <v>23.159266817529183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159.85300000000001</v>
      </c>
      <c r="C8" s="21">
        <f>C5+C6</f>
        <v>0</v>
      </c>
      <c r="D8" s="21">
        <f>MAX((D5+D6),0)</f>
        <v>52.932968000000002</v>
      </c>
      <c r="E8" s="21">
        <f>MAX((E5+E6),0)</f>
        <v>4.6985679174162494</v>
      </c>
      <c r="F8" s="21">
        <f>MAX((F5+F6),0)</f>
        <v>665.93895999726874</v>
      </c>
      <c r="G8" s="21"/>
      <c r="H8" s="21"/>
      <c r="I8" s="21"/>
      <c r="J8" s="21">
        <f>MAX((J5+J6),0)</f>
        <v>23.159266817529183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0.18980095032729111</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30.340251312668467</v>
      </c>
      <c r="C12" s="23">
        <f ca="1">C8*C10</f>
        <v>0</v>
      </c>
      <c r="D12" s="23">
        <f>D8*D10</f>
        <v>10.692459536000001</v>
      </c>
      <c r="E12" s="23">
        <f>E8*E10</f>
        <v>1.0665749172534886</v>
      </c>
      <c r="F12" s="23">
        <f>F8*F10</f>
        <v>177.80570231927075</v>
      </c>
      <c r="G12" s="23"/>
      <c r="H12" s="23"/>
      <c r="I12" s="23"/>
      <c r="J12" s="23">
        <f>J8*J10</f>
        <v>8.1983804534053295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2.2683642223492596E-2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6.4929768078088035</v>
      </c>
      <c r="C26" s="247">
        <f>B26*'GWP N2O_CH4'!B5</f>
        <v>136.35251296398488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0.36408127623587311</v>
      </c>
      <c r="C27" s="247">
        <f>B27*'GWP N2O_CH4'!B5</f>
        <v>7.6457068009533353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9.2652467253057522E-2</v>
      </c>
      <c r="C28" s="247">
        <f>B28*'GWP N2O_CH4'!B4</f>
        <v>28.722264848447832</v>
      </c>
      <c r="D28" s="50"/>
    </row>
    <row r="29" spans="1:4">
      <c r="A29" s="41" t="s">
        <v>277</v>
      </c>
      <c r="B29" s="247">
        <f>B34*'ha_N2O bodem landbouw'!B4</f>
        <v>2.3745825533204759</v>
      </c>
      <c r="C29" s="247">
        <f>B29*'GWP N2O_CH4'!B4</f>
        <v>736.12059152934751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5.4187155549220831E-4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9.587337257471287E-5</v>
      </c>
      <c r="C5" s="463" t="s">
        <v>211</v>
      </c>
      <c r="D5" s="448">
        <f>SUM(D6:D11)</f>
        <v>3.6867503918180852E-4</v>
      </c>
      <c r="E5" s="448">
        <f>SUM(E6:E11)</f>
        <v>4.8495260481195668E-4</v>
      </c>
      <c r="F5" s="461" t="s">
        <v>211</v>
      </c>
      <c r="G5" s="448">
        <f>SUM(G6:G11)</f>
        <v>0.16497331478443897</v>
      </c>
      <c r="H5" s="448">
        <f>SUM(H6:H11)</f>
        <v>4.1343611434470608E-2</v>
      </c>
      <c r="I5" s="463" t="s">
        <v>211</v>
      </c>
      <c r="J5" s="463" t="s">
        <v>211</v>
      </c>
      <c r="K5" s="463" t="s">
        <v>211</v>
      </c>
      <c r="L5" s="463" t="s">
        <v>211</v>
      </c>
      <c r="M5" s="448">
        <f>SUM(M6:M11)</f>
        <v>1.0865674154801771E-2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6.1115746070636626E-5</v>
      </c>
      <c r="C6" s="449"/>
      <c r="D6" s="962">
        <f>vkm_2011_GW_PW*SUMIFS(TableVerdeelsleutelVkm[CNG],TableVerdeelsleutelVkm[Voertuigtype],"Lichte voertuigen")*SUMIFS(TableECFTransport[EnergieConsumptieFactor (PJ per km)],TableECFTransport[Index],CONCATENATE($A6,"_CNG_CNG"))</f>
        <v>1.8331216096432635E-4</v>
      </c>
      <c r="E6" s="962">
        <f>vkm_2011_GW_PW*SUMIFS(TableVerdeelsleutelVkm[LPG],TableVerdeelsleutelVkm[Voertuigtype],"Lichte voertuigen")*SUMIFS(TableECFTransport[EnergieConsumptieFactor (PJ per km)],TableECFTransport[Index],CONCATENATE($A6,"_LPG_LPG"))</f>
        <v>2.5043074337151696E-4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6.4749910312169284E-2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2.0846002286590042E-2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4.4016892821548649E-3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3.8974163823696652E-2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1.1876455544033655E-5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2.2775207201221389E-3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3.4757626504076238E-5</v>
      </c>
      <c r="C8" s="449"/>
      <c r="D8" s="451">
        <f>vkm_2011_NGW_PW*SUMIFS(TableVerdeelsleutelVkm[CNG],TableVerdeelsleutelVkm[Voertuigtype],"Lichte voertuigen")*SUMIFS(TableECFTransport[EnergieConsumptieFactor (PJ per km)],TableECFTransport[Index],CONCATENATE($A8,"_CNG_CNG"))</f>
        <v>1.8536287821748217E-4</v>
      </c>
      <c r="E8" s="451">
        <f>vkm_2011_NGW_PW*SUMIFS(TableVerdeelsleutelVkm[LPG],TableVerdeelsleutelVkm[Voertuigtype],"Lichte voertuigen")*SUMIFS(TableECFTransport[EnergieConsumptieFactor (PJ per km)],TableECFTransport[Index],CONCATENATE($A8,"_LPG_LPG"))</f>
        <v>2.3452186144043975E-4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5.6506897859962588E-2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2.0484372239671918E-2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3.9093398989152248E-3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4.7423427886104461E-3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1.3604526646100555E-6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2.7712425360954391E-4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26.631492381864689</v>
      </c>
      <c r="C14" s="21"/>
      <c r="D14" s="21">
        <f t="shared" ref="D14:M14" si="0">((D5)*10^9/3600)+D12</f>
        <v>102.40973310605793</v>
      </c>
      <c r="E14" s="21">
        <f t="shared" si="0"/>
        <v>134.70905689221019</v>
      </c>
      <c r="F14" s="21"/>
      <c r="G14" s="21">
        <f t="shared" si="0"/>
        <v>45825.920773455269</v>
      </c>
      <c r="H14" s="21">
        <f t="shared" si="0"/>
        <v>11484.336509575169</v>
      </c>
      <c r="I14" s="21"/>
      <c r="J14" s="21"/>
      <c r="K14" s="21"/>
      <c r="L14" s="21"/>
      <c r="M14" s="21">
        <f t="shared" si="0"/>
        <v>3018.2428207782696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0.18980095032729111</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5.0546825627119309</v>
      </c>
      <c r="C18" s="23"/>
      <c r="D18" s="23">
        <f t="shared" ref="D18:M18" si="1">D14*D16</f>
        <v>20.686766087423702</v>
      </c>
      <c r="E18" s="23">
        <f t="shared" si="1"/>
        <v>30.578955914531711</v>
      </c>
      <c r="F18" s="23"/>
      <c r="G18" s="23">
        <f t="shared" si="1"/>
        <v>12235.520846512558</v>
      </c>
      <c r="H18" s="23">
        <f t="shared" si="1"/>
        <v>2859.5997908842169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9.9498324623725374E-4</v>
      </c>
      <c r="H50" s="321">
        <f t="shared" si="2"/>
        <v>0</v>
      </c>
      <c r="I50" s="321">
        <f t="shared" si="2"/>
        <v>0</v>
      </c>
      <c r="J50" s="321">
        <f t="shared" si="2"/>
        <v>0</v>
      </c>
      <c r="K50" s="321">
        <f t="shared" si="2"/>
        <v>0</v>
      </c>
      <c r="L50" s="321">
        <f t="shared" si="2"/>
        <v>0</v>
      </c>
      <c r="M50" s="321">
        <f t="shared" si="2"/>
        <v>5.6510655956734134E-5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9.9498324623725374E-4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5.6510655956734134E-5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276.38423506590385</v>
      </c>
      <c r="H54" s="21">
        <f t="shared" si="3"/>
        <v>0</v>
      </c>
      <c r="I54" s="21">
        <f t="shared" si="3"/>
        <v>0</v>
      </c>
      <c r="J54" s="21">
        <f t="shared" si="3"/>
        <v>0</v>
      </c>
      <c r="K54" s="21">
        <f t="shared" si="3"/>
        <v>0</v>
      </c>
      <c r="L54" s="21">
        <f t="shared" si="3"/>
        <v>0</v>
      </c>
      <c r="M54" s="21">
        <f t="shared" si="3"/>
        <v>15.697404432426147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0.18980095032729111</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73.794590762596329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3592.4097337716689</v>
      </c>
      <c r="C6" s="1204"/>
      <c r="D6" s="1189"/>
      <c r="E6" s="1189"/>
      <c r="F6" s="1207"/>
      <c r="G6" s="1210"/>
      <c r="H6" s="1201"/>
      <c r="I6" s="1189"/>
      <c r="J6" s="1189"/>
      <c r="K6" s="1189"/>
      <c r="L6" s="1193"/>
      <c r="M6" s="575"/>
      <c r="N6" s="1167"/>
      <c r="O6" s="1168"/>
      <c r="Q6" s="573"/>
      <c r="R6" s="1155"/>
      <c r="S6" s="1155"/>
    </row>
    <row r="7" spans="1:19" s="563" customFormat="1">
      <c r="A7" s="576" t="s">
        <v>252</v>
      </c>
      <c r="B7" s="577">
        <f>N57</f>
        <v>4.9583333333333339</v>
      </c>
      <c r="C7" s="578">
        <f>B100</f>
        <v>5.5092592592592595</v>
      </c>
      <c r="D7" s="579"/>
      <c r="E7" s="579">
        <f>E100</f>
        <v>0</v>
      </c>
      <c r="F7" s="580"/>
      <c r="G7" s="581"/>
      <c r="H7" s="579">
        <f>I100</f>
        <v>0</v>
      </c>
      <c r="I7" s="579">
        <f>G100+F100</f>
        <v>0</v>
      </c>
      <c r="J7" s="579">
        <f>H100+D100+C100</f>
        <v>0</v>
      </c>
      <c r="K7" s="579"/>
      <c r="L7" s="582"/>
      <c r="M7" s="583">
        <f>C7*$C$11+D7*$D$11+E7*$E$11+F7*$F$11+G7*$G$11+H7*$H$11+I7*$I$11+J7*$J$11</f>
        <v>1.1128703703703704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3597.3680671050024</v>
      </c>
      <c r="C9" s="594">
        <f t="shared" ref="C9:L9" si="0">SUM(C7:C8)</f>
        <v>5.5092592592592595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1.1128703703703704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7.1024774774774784</v>
      </c>
      <c r="C16" s="610">
        <f>B101</f>
        <v>7.8916416416416428</v>
      </c>
      <c r="D16" s="611"/>
      <c r="E16" s="611">
        <f>E101</f>
        <v>0</v>
      </c>
      <c r="F16" s="612"/>
      <c r="G16" s="613"/>
      <c r="H16" s="610">
        <f>I101</f>
        <v>0</v>
      </c>
      <c r="I16" s="611">
        <f>G101+F101</f>
        <v>0</v>
      </c>
      <c r="J16" s="611">
        <f>H101+D101+C101</f>
        <v>0</v>
      </c>
      <c r="K16" s="611"/>
      <c r="L16" s="614"/>
      <c r="M16" s="615">
        <f>C16*$C$21+E16*$E$21+H16*$H$21+I16*$I$21+J16*$J$21+D16*$D$21+F16*$F$21+G16*$G$21+K16*$K$21+L16*$L$21</f>
        <v>1.5941116116116119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7.1024774774774784</v>
      </c>
      <c r="C19" s="593">
        <f>SUM(C16:C18)</f>
        <v>7.8916416416416428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1.5941116116116119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24007</v>
      </c>
      <c r="C27" s="851">
        <v>3130</v>
      </c>
      <c r="D27" s="672"/>
      <c r="E27" s="671"/>
      <c r="F27" s="671" t="s">
        <v>809</v>
      </c>
      <c r="G27" s="671" t="s">
        <v>810</v>
      </c>
      <c r="H27" s="671" t="s">
        <v>810</v>
      </c>
      <c r="I27" s="671" t="s">
        <v>811</v>
      </c>
      <c r="J27" s="850">
        <v>41736</v>
      </c>
      <c r="K27" s="850">
        <v>42153</v>
      </c>
      <c r="L27" s="671" t="s">
        <v>812</v>
      </c>
      <c r="M27" s="671">
        <v>1.7</v>
      </c>
      <c r="N27" s="671">
        <v>4.9583333333333339</v>
      </c>
      <c r="O27" s="671">
        <v>7.1024774774774784</v>
      </c>
      <c r="P27" s="671">
        <v>13.400900900900902</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1.7</v>
      </c>
      <c r="N57" s="629">
        <f>SUM(N27:N56)</f>
        <v>4.9583333333333339</v>
      </c>
      <c r="O57" s="629">
        <f t="shared" ref="O57:W57" si="2">SUM(O27:O56)</f>
        <v>7.1024774774774784</v>
      </c>
      <c r="P57" s="629">
        <f t="shared" si="2"/>
        <v>13.400900900900902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v>
      </c>
      <c r="N59" s="629">
        <f ca="1">SUMIF($Z$27:AB56,"tertiair",N27:N56)</f>
        <v>4.9583333333333339</v>
      </c>
      <c r="O59" s="629">
        <f ca="1">SUMIF($Z$27:AC56,"tertiair",O27:O56)</f>
        <v>7.1024774774774784</v>
      </c>
      <c r="P59" s="629">
        <f ca="1">SUMIF($Z$27:AD56,"tertiair",P27:P56)</f>
        <v>13.400900900900902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0.58888888888888891</v>
      </c>
      <c r="C97" s="654">
        <f>IF(ISERROR(N57/(O57+N57)),0,N57/(N57+O57))</f>
        <v>0.41111111111111109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5.5092592592592595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7.8916416416416428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6712.596333333333</v>
      </c>
      <c r="D10" s="718">
        <f ca="1">tertiair!C16</f>
        <v>7.1024774774774784</v>
      </c>
      <c r="E10" s="718">
        <f ca="1">tertiair!D16</f>
        <v>2786.0084150990992</v>
      </c>
      <c r="F10" s="718">
        <f>tertiair!E16</f>
        <v>130.84438112729163</v>
      </c>
      <c r="G10" s="718">
        <f ca="1">tertiair!F16</f>
        <v>1112.2760109920318</v>
      </c>
      <c r="H10" s="718">
        <f>tertiair!G16</f>
        <v>0</v>
      </c>
      <c r="I10" s="718">
        <f>tertiair!H16</f>
        <v>0</v>
      </c>
      <c r="J10" s="718">
        <f>tertiair!I16</f>
        <v>0</v>
      </c>
      <c r="K10" s="718">
        <f>tertiair!J16</f>
        <v>1.293797416675433E-2</v>
      </c>
      <c r="L10" s="718">
        <f>tertiair!K16</f>
        <v>0</v>
      </c>
      <c r="M10" s="718">
        <f ca="1">tertiair!L16</f>
        <v>0</v>
      </c>
      <c r="N10" s="718">
        <f>tertiair!M16</f>
        <v>0</v>
      </c>
      <c r="O10" s="718">
        <f ca="1">tertiair!N16</f>
        <v>519.21776996700032</v>
      </c>
      <c r="P10" s="718">
        <f>tertiair!O16</f>
        <v>0</v>
      </c>
      <c r="Q10" s="719">
        <f>tertiair!P16</f>
        <v>0</v>
      </c>
      <c r="R10" s="721">
        <f ca="1">SUM(C10:Q10)</f>
        <v>11268.058325970402</v>
      </c>
      <c r="S10" s="67"/>
    </row>
    <row r="11" spans="1:19" s="474" customFormat="1">
      <c r="A11" s="870" t="s">
        <v>225</v>
      </c>
      <c r="B11" s="875"/>
      <c r="C11" s="718">
        <f>huishoudens!B8</f>
        <v>17598.656773271003</v>
      </c>
      <c r="D11" s="718">
        <f>huishoudens!C8</f>
        <v>0</v>
      </c>
      <c r="E11" s="718">
        <f>huishoudens!D8</f>
        <v>18490.0782913</v>
      </c>
      <c r="F11" s="718">
        <f>huishoudens!E8</f>
        <v>7001.6591439908279</v>
      </c>
      <c r="G11" s="718">
        <f>huishoudens!F8</f>
        <v>45146.583074100934</v>
      </c>
      <c r="H11" s="718">
        <f>huishoudens!G8</f>
        <v>0</v>
      </c>
      <c r="I11" s="718">
        <f>huishoudens!H8</f>
        <v>0</v>
      </c>
      <c r="J11" s="718">
        <f>huishoudens!I8</f>
        <v>0</v>
      </c>
      <c r="K11" s="718">
        <f>huishoudens!J8</f>
        <v>0</v>
      </c>
      <c r="L11" s="718">
        <f>huishoudens!K8</f>
        <v>0</v>
      </c>
      <c r="M11" s="718">
        <f>huishoudens!L8</f>
        <v>0</v>
      </c>
      <c r="N11" s="718">
        <f>huishoudens!M8</f>
        <v>0</v>
      </c>
      <c r="O11" s="718">
        <f>huishoudens!N8</f>
        <v>6289.0180236827973</v>
      </c>
      <c r="P11" s="718">
        <f>huishoudens!O8</f>
        <v>156.33333333333334</v>
      </c>
      <c r="Q11" s="719">
        <f>huishoudens!P8</f>
        <v>991.4666666666667</v>
      </c>
      <c r="R11" s="721">
        <f>SUM(C11:Q11)</f>
        <v>95673.79530634555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948.72570000000007</v>
      </c>
      <c r="D13" s="718">
        <f>industrie!C18</f>
        <v>0</v>
      </c>
      <c r="E13" s="718">
        <f>industrie!D18</f>
        <v>462.42960280000005</v>
      </c>
      <c r="F13" s="718">
        <f>industrie!E18</f>
        <v>152.33689903713861</v>
      </c>
      <c r="G13" s="718">
        <f>industrie!F18</f>
        <v>446.5898554794245</v>
      </c>
      <c r="H13" s="718">
        <f>industrie!G18</f>
        <v>0</v>
      </c>
      <c r="I13" s="718">
        <f>industrie!H18</f>
        <v>0</v>
      </c>
      <c r="J13" s="718">
        <f>industrie!I18</f>
        <v>0</v>
      </c>
      <c r="K13" s="718">
        <f>industrie!J18</f>
        <v>0</v>
      </c>
      <c r="L13" s="718">
        <f>industrie!K18</f>
        <v>0</v>
      </c>
      <c r="M13" s="718">
        <f>industrie!L18</f>
        <v>0</v>
      </c>
      <c r="N13" s="718">
        <f>industrie!M18</f>
        <v>0</v>
      </c>
      <c r="O13" s="718">
        <f>industrie!N18</f>
        <v>186.07230788278102</v>
      </c>
      <c r="P13" s="718">
        <f>industrie!O18</f>
        <v>0</v>
      </c>
      <c r="Q13" s="719">
        <f>industrie!P18</f>
        <v>0</v>
      </c>
      <c r="R13" s="721">
        <f>SUM(C13:Q13)</f>
        <v>2196.1543651993443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25259.978806604337</v>
      </c>
      <c r="D15" s="723">
        <f t="shared" ref="D15:Q15" ca="1" si="0">SUM(D9:D14)</f>
        <v>7.1024774774774784</v>
      </c>
      <c r="E15" s="723">
        <f t="shared" ca="1" si="0"/>
        <v>21738.516309199098</v>
      </c>
      <c r="F15" s="723">
        <f t="shared" si="0"/>
        <v>7284.840424155258</v>
      </c>
      <c r="G15" s="723">
        <f t="shared" ca="1" si="0"/>
        <v>46705.448940572394</v>
      </c>
      <c r="H15" s="723">
        <f t="shared" si="0"/>
        <v>0</v>
      </c>
      <c r="I15" s="723">
        <f t="shared" si="0"/>
        <v>0</v>
      </c>
      <c r="J15" s="723">
        <f t="shared" si="0"/>
        <v>0</v>
      </c>
      <c r="K15" s="723">
        <f t="shared" si="0"/>
        <v>1.293797416675433E-2</v>
      </c>
      <c r="L15" s="723">
        <f t="shared" si="0"/>
        <v>0</v>
      </c>
      <c r="M15" s="723">
        <f t="shared" ca="1" si="0"/>
        <v>0</v>
      </c>
      <c r="N15" s="723">
        <f t="shared" si="0"/>
        <v>0</v>
      </c>
      <c r="O15" s="723">
        <f t="shared" ca="1" si="0"/>
        <v>6994.3081015325788</v>
      </c>
      <c r="P15" s="723">
        <f t="shared" si="0"/>
        <v>156.33333333333334</v>
      </c>
      <c r="Q15" s="724">
        <f t="shared" si="0"/>
        <v>991.4666666666667</v>
      </c>
      <c r="R15" s="725">
        <f ca="1">SUM(R9:R14)</f>
        <v>109138.00799751529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276.38423506590385</v>
      </c>
      <c r="I18" s="718">
        <f>transport!H54</f>
        <v>0</v>
      </c>
      <c r="J18" s="718">
        <f>transport!I54</f>
        <v>0</v>
      </c>
      <c r="K18" s="718">
        <f>transport!J54</f>
        <v>0</v>
      </c>
      <c r="L18" s="718">
        <f>transport!K54</f>
        <v>0</v>
      </c>
      <c r="M18" s="718">
        <f>transport!L54</f>
        <v>0</v>
      </c>
      <c r="N18" s="718">
        <f>transport!M54</f>
        <v>15.697404432426147</v>
      </c>
      <c r="O18" s="718">
        <f>transport!N54</f>
        <v>0</v>
      </c>
      <c r="P18" s="718">
        <f>transport!O54</f>
        <v>0</v>
      </c>
      <c r="Q18" s="719">
        <f>transport!P54</f>
        <v>0</v>
      </c>
      <c r="R18" s="721">
        <f>SUM(C18:Q18)</f>
        <v>292.08163949832999</v>
      </c>
      <c r="S18" s="67"/>
    </row>
    <row r="19" spans="1:19" s="474" customFormat="1" ht="15" thickBot="1">
      <c r="A19" s="870" t="s">
        <v>307</v>
      </c>
      <c r="B19" s="875"/>
      <c r="C19" s="727">
        <f>transport!B14</f>
        <v>26.631492381864689</v>
      </c>
      <c r="D19" s="727">
        <f>transport!C14</f>
        <v>0</v>
      </c>
      <c r="E19" s="727">
        <f>transport!D14</f>
        <v>102.40973310605793</v>
      </c>
      <c r="F19" s="727">
        <f>transport!E14</f>
        <v>134.70905689221019</v>
      </c>
      <c r="G19" s="727">
        <f>transport!F14</f>
        <v>0</v>
      </c>
      <c r="H19" s="727">
        <f>transport!G14</f>
        <v>45825.920773455269</v>
      </c>
      <c r="I19" s="727">
        <f>transport!H14</f>
        <v>11484.336509575169</v>
      </c>
      <c r="J19" s="727">
        <f>transport!I14</f>
        <v>0</v>
      </c>
      <c r="K19" s="727">
        <f>transport!J14</f>
        <v>0</v>
      </c>
      <c r="L19" s="727">
        <f>transport!K14</f>
        <v>0</v>
      </c>
      <c r="M19" s="727">
        <f>transport!L14</f>
        <v>0</v>
      </c>
      <c r="N19" s="727">
        <f>transport!M14</f>
        <v>3018.2428207782696</v>
      </c>
      <c r="O19" s="727">
        <f>transport!N14</f>
        <v>0</v>
      </c>
      <c r="P19" s="727">
        <f>transport!O14</f>
        <v>0</v>
      </c>
      <c r="Q19" s="728">
        <f>transport!P14</f>
        <v>0</v>
      </c>
      <c r="R19" s="729">
        <f>SUM(C19:Q19)</f>
        <v>60592.250386188847</v>
      </c>
      <c r="S19" s="67"/>
    </row>
    <row r="20" spans="1:19" s="474" customFormat="1" ht="15.75" thickBot="1">
      <c r="A20" s="730" t="s">
        <v>230</v>
      </c>
      <c r="B20" s="878"/>
      <c r="C20" s="873">
        <f>SUM(C17:C19)</f>
        <v>26.631492381864689</v>
      </c>
      <c r="D20" s="731">
        <f t="shared" ref="D20:R20" si="1">SUM(D17:D19)</f>
        <v>0</v>
      </c>
      <c r="E20" s="731">
        <f t="shared" si="1"/>
        <v>102.40973310605793</v>
      </c>
      <c r="F20" s="731">
        <f t="shared" si="1"/>
        <v>134.70905689221019</v>
      </c>
      <c r="G20" s="731">
        <f t="shared" si="1"/>
        <v>0</v>
      </c>
      <c r="H20" s="731">
        <f t="shared" si="1"/>
        <v>46102.305008521173</v>
      </c>
      <c r="I20" s="731">
        <f t="shared" si="1"/>
        <v>11484.336509575169</v>
      </c>
      <c r="J20" s="731">
        <f t="shared" si="1"/>
        <v>0</v>
      </c>
      <c r="K20" s="731">
        <f t="shared" si="1"/>
        <v>0</v>
      </c>
      <c r="L20" s="731">
        <f t="shared" si="1"/>
        <v>0</v>
      </c>
      <c r="M20" s="731">
        <f t="shared" si="1"/>
        <v>0</v>
      </c>
      <c r="N20" s="731">
        <f t="shared" si="1"/>
        <v>3033.9402252106956</v>
      </c>
      <c r="O20" s="731">
        <f t="shared" si="1"/>
        <v>0</v>
      </c>
      <c r="P20" s="731">
        <f t="shared" si="1"/>
        <v>0</v>
      </c>
      <c r="Q20" s="732">
        <f t="shared" si="1"/>
        <v>0</v>
      </c>
      <c r="R20" s="733">
        <f t="shared" si="1"/>
        <v>60884.332025687174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159.85300000000001</v>
      </c>
      <c r="D22" s="727">
        <f>+landbouw!C8</f>
        <v>0</v>
      </c>
      <c r="E22" s="727">
        <f>+landbouw!D8</f>
        <v>52.932968000000002</v>
      </c>
      <c r="F22" s="727">
        <f>+landbouw!E8</f>
        <v>4.6985679174162494</v>
      </c>
      <c r="G22" s="727">
        <f>+landbouw!F8</f>
        <v>665.93895999726874</v>
      </c>
      <c r="H22" s="727">
        <f>+landbouw!G8</f>
        <v>0</v>
      </c>
      <c r="I22" s="727">
        <f>+landbouw!H8</f>
        <v>0</v>
      </c>
      <c r="J22" s="727">
        <f>+landbouw!I8</f>
        <v>0</v>
      </c>
      <c r="K22" s="727">
        <f>+landbouw!J8</f>
        <v>23.159266817529183</v>
      </c>
      <c r="L22" s="727">
        <f>+landbouw!K8</f>
        <v>0</v>
      </c>
      <c r="M22" s="727">
        <f>+landbouw!L8</f>
        <v>0</v>
      </c>
      <c r="N22" s="727">
        <f>+landbouw!M8</f>
        <v>0</v>
      </c>
      <c r="O22" s="727">
        <f>+landbouw!N8</f>
        <v>0</v>
      </c>
      <c r="P22" s="727">
        <f>+landbouw!O8</f>
        <v>0</v>
      </c>
      <c r="Q22" s="728">
        <f>+landbouw!P8</f>
        <v>0</v>
      </c>
      <c r="R22" s="729">
        <f>SUM(C22:Q22)</f>
        <v>906.58276273221418</v>
      </c>
      <c r="S22" s="67"/>
    </row>
    <row r="23" spans="1:19" s="474" customFormat="1" ht="17.25" thickTop="1" thickBot="1">
      <c r="A23" s="734" t="s">
        <v>116</v>
      </c>
      <c r="B23" s="864"/>
      <c r="C23" s="735">
        <f ca="1">C20+C15+C22</f>
        <v>25446.4632989862</v>
      </c>
      <c r="D23" s="735">
        <f t="shared" ref="D23:Q23" ca="1" si="2">D20+D15+D22</f>
        <v>7.1024774774774784</v>
      </c>
      <c r="E23" s="735">
        <f t="shared" ca="1" si="2"/>
        <v>21893.859010305157</v>
      </c>
      <c r="F23" s="735">
        <f t="shared" si="2"/>
        <v>7424.2480489648842</v>
      </c>
      <c r="G23" s="735">
        <f t="shared" ca="1" si="2"/>
        <v>47371.387900569665</v>
      </c>
      <c r="H23" s="735">
        <f t="shared" si="2"/>
        <v>46102.305008521173</v>
      </c>
      <c r="I23" s="735">
        <f t="shared" si="2"/>
        <v>11484.336509575169</v>
      </c>
      <c r="J23" s="735">
        <f t="shared" si="2"/>
        <v>0</v>
      </c>
      <c r="K23" s="735">
        <f t="shared" si="2"/>
        <v>23.172204791695936</v>
      </c>
      <c r="L23" s="735">
        <f t="shared" si="2"/>
        <v>0</v>
      </c>
      <c r="M23" s="735">
        <f t="shared" ca="1" si="2"/>
        <v>0</v>
      </c>
      <c r="N23" s="735">
        <f t="shared" si="2"/>
        <v>3033.9402252106956</v>
      </c>
      <c r="O23" s="735">
        <f t="shared" ca="1" si="2"/>
        <v>6994.3081015325788</v>
      </c>
      <c r="P23" s="735">
        <f t="shared" si="2"/>
        <v>156.33333333333334</v>
      </c>
      <c r="Q23" s="736">
        <f t="shared" si="2"/>
        <v>991.4666666666667</v>
      </c>
      <c r="R23" s="737">
        <f ca="1">R20+R15+R22</f>
        <v>170928.9227859347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1274.0571632301564</v>
      </c>
      <c r="D36" s="718">
        <f ca="1">tertiair!C20</f>
        <v>1.5941116116116119</v>
      </c>
      <c r="E36" s="718">
        <f ca="1">tertiair!D20</f>
        <v>562.77369985001803</v>
      </c>
      <c r="F36" s="718">
        <f>tertiair!E20</f>
        <v>29.701674515895199</v>
      </c>
      <c r="G36" s="718">
        <f ca="1">tertiair!F20</f>
        <v>296.97769493487255</v>
      </c>
      <c r="H36" s="718">
        <f>tertiair!G20</f>
        <v>0</v>
      </c>
      <c r="I36" s="718">
        <f>tertiair!H20</f>
        <v>0</v>
      </c>
      <c r="J36" s="718">
        <f>tertiair!I20</f>
        <v>0</v>
      </c>
      <c r="K36" s="718">
        <f>tertiair!J20</f>
        <v>4.5800428550310324E-3</v>
      </c>
      <c r="L36" s="718">
        <f>tertiair!K20</f>
        <v>0</v>
      </c>
      <c r="M36" s="718">
        <f ca="1">tertiair!L20</f>
        <v>0</v>
      </c>
      <c r="N36" s="718">
        <f>tertiair!M20</f>
        <v>0</v>
      </c>
      <c r="O36" s="718">
        <f ca="1">tertiair!N20</f>
        <v>0</v>
      </c>
      <c r="P36" s="718">
        <f>tertiair!O20</f>
        <v>0</v>
      </c>
      <c r="Q36" s="828">
        <f>tertiair!P20</f>
        <v>0</v>
      </c>
      <c r="R36" s="917">
        <f ca="1">SUM(C36:Q36)</f>
        <v>2165.1089241854093</v>
      </c>
    </row>
    <row r="37" spans="1:18">
      <c r="A37" s="885" t="s">
        <v>225</v>
      </c>
      <c r="B37" s="892"/>
      <c r="C37" s="718">
        <f ca="1">huishoudens!B12</f>
        <v>3340.2417800506546</v>
      </c>
      <c r="D37" s="718">
        <f ca="1">huishoudens!C12</f>
        <v>0</v>
      </c>
      <c r="E37" s="718">
        <f>huishoudens!D12</f>
        <v>3734.9958148426003</v>
      </c>
      <c r="F37" s="718">
        <f>huishoudens!E12</f>
        <v>1589.376625685918</v>
      </c>
      <c r="G37" s="718">
        <f>huishoudens!F12</f>
        <v>12054.13768078495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20718.751901364121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180.06903945992451</v>
      </c>
      <c r="D39" s="718">
        <f ca="1">industrie!C22</f>
        <v>0</v>
      </c>
      <c r="E39" s="718">
        <f>industrie!D22</f>
        <v>93.410779765600012</v>
      </c>
      <c r="F39" s="718">
        <f>industrie!E22</f>
        <v>34.580476081430469</v>
      </c>
      <c r="G39" s="718">
        <f>industrie!F22</f>
        <v>119.23949141300635</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427.29978671996133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4794.367982740735</v>
      </c>
      <c r="D41" s="763">
        <f t="shared" ref="D41:R41" ca="1" si="4">SUM(D35:D40)</f>
        <v>1.5941116116116119</v>
      </c>
      <c r="E41" s="763">
        <f t="shared" ca="1" si="4"/>
        <v>4391.1802944582178</v>
      </c>
      <c r="F41" s="763">
        <f t="shared" si="4"/>
        <v>1653.6587762832437</v>
      </c>
      <c r="G41" s="763">
        <f t="shared" ca="1" si="4"/>
        <v>12470.354867132828</v>
      </c>
      <c r="H41" s="763">
        <f t="shared" si="4"/>
        <v>0</v>
      </c>
      <c r="I41" s="763">
        <f t="shared" si="4"/>
        <v>0</v>
      </c>
      <c r="J41" s="763">
        <f t="shared" si="4"/>
        <v>0</v>
      </c>
      <c r="K41" s="763">
        <f t="shared" si="4"/>
        <v>4.5800428550310324E-3</v>
      </c>
      <c r="L41" s="763">
        <f t="shared" si="4"/>
        <v>0</v>
      </c>
      <c r="M41" s="763">
        <f t="shared" ca="1" si="4"/>
        <v>0</v>
      </c>
      <c r="N41" s="763">
        <f t="shared" si="4"/>
        <v>0</v>
      </c>
      <c r="O41" s="763">
        <f t="shared" ca="1" si="4"/>
        <v>0</v>
      </c>
      <c r="P41" s="763">
        <f t="shared" si="4"/>
        <v>0</v>
      </c>
      <c r="Q41" s="764">
        <f t="shared" si="4"/>
        <v>0</v>
      </c>
      <c r="R41" s="765">
        <f t="shared" ca="1" si="4"/>
        <v>23311.160612269494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73.794590762596329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73.794590762596329</v>
      </c>
    </row>
    <row r="45" spans="1:18" ht="15" thickBot="1">
      <c r="A45" s="888" t="s">
        <v>307</v>
      </c>
      <c r="B45" s="898"/>
      <c r="C45" s="727">
        <f ca="1">transport!B18</f>
        <v>5.0546825627119309</v>
      </c>
      <c r="D45" s="727">
        <f>transport!C18</f>
        <v>0</v>
      </c>
      <c r="E45" s="727">
        <f>transport!D18</f>
        <v>20.686766087423702</v>
      </c>
      <c r="F45" s="727">
        <f>transport!E18</f>
        <v>30.578955914531711</v>
      </c>
      <c r="G45" s="727">
        <f>transport!F18</f>
        <v>0</v>
      </c>
      <c r="H45" s="727">
        <f>transport!G18</f>
        <v>12235.520846512558</v>
      </c>
      <c r="I45" s="727">
        <f>transport!H18</f>
        <v>2859.5997908842169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15151.441041961441</v>
      </c>
    </row>
    <row r="46" spans="1:18" ht="15.75" thickBot="1">
      <c r="A46" s="886" t="s">
        <v>230</v>
      </c>
      <c r="B46" s="899"/>
      <c r="C46" s="763">
        <f t="shared" ref="C46:R46" ca="1" si="5">SUM(C43:C45)</f>
        <v>5.0546825627119309</v>
      </c>
      <c r="D46" s="763">
        <f t="shared" ca="1" si="5"/>
        <v>0</v>
      </c>
      <c r="E46" s="763">
        <f t="shared" si="5"/>
        <v>20.686766087423702</v>
      </c>
      <c r="F46" s="763">
        <f t="shared" si="5"/>
        <v>30.578955914531711</v>
      </c>
      <c r="G46" s="763">
        <f t="shared" si="5"/>
        <v>0</v>
      </c>
      <c r="H46" s="763">
        <f t="shared" si="5"/>
        <v>12309.315437275154</v>
      </c>
      <c r="I46" s="763">
        <f t="shared" si="5"/>
        <v>2859.5997908842169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15225.235632724038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30.340251312668467</v>
      </c>
      <c r="D48" s="718">
        <f ca="1">+landbouw!C12</f>
        <v>0</v>
      </c>
      <c r="E48" s="718">
        <f>+landbouw!D12</f>
        <v>10.692459536000001</v>
      </c>
      <c r="F48" s="718">
        <f>+landbouw!E12</f>
        <v>1.0665749172534886</v>
      </c>
      <c r="G48" s="718">
        <f>+landbouw!F12</f>
        <v>177.80570231927075</v>
      </c>
      <c r="H48" s="718">
        <f>+landbouw!G12</f>
        <v>0</v>
      </c>
      <c r="I48" s="718">
        <f>+landbouw!H12</f>
        <v>0</v>
      </c>
      <c r="J48" s="718">
        <f>+landbouw!I12</f>
        <v>0</v>
      </c>
      <c r="K48" s="718">
        <f>+landbouw!J12</f>
        <v>8.1983804534053295</v>
      </c>
      <c r="L48" s="718">
        <f>+landbouw!K12</f>
        <v>0</v>
      </c>
      <c r="M48" s="718">
        <f>+landbouw!L12</f>
        <v>0</v>
      </c>
      <c r="N48" s="718">
        <f>+landbouw!M12</f>
        <v>0</v>
      </c>
      <c r="O48" s="718">
        <f>+landbouw!N12</f>
        <v>0</v>
      </c>
      <c r="P48" s="718">
        <f>+landbouw!O12</f>
        <v>0</v>
      </c>
      <c r="Q48" s="719">
        <f>+landbouw!P12</f>
        <v>0</v>
      </c>
      <c r="R48" s="761">
        <f ca="1">SUM(C48:Q48)</f>
        <v>228.10336853859803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4829.762916616115</v>
      </c>
      <c r="D53" s="773">
        <f t="shared" ref="D53:Q53" ca="1" si="6">D41+D46+D48</f>
        <v>1.5941116116116119</v>
      </c>
      <c r="E53" s="773">
        <f t="shared" ca="1" si="6"/>
        <v>4422.5595200816415</v>
      </c>
      <c r="F53" s="773">
        <f t="shared" si="6"/>
        <v>1685.3043071150289</v>
      </c>
      <c r="G53" s="773">
        <f t="shared" ca="1" si="6"/>
        <v>12648.160569452099</v>
      </c>
      <c r="H53" s="773">
        <f t="shared" si="6"/>
        <v>12309.315437275154</v>
      </c>
      <c r="I53" s="773">
        <f t="shared" si="6"/>
        <v>2859.5997908842169</v>
      </c>
      <c r="J53" s="773">
        <f t="shared" si="6"/>
        <v>0</v>
      </c>
      <c r="K53" s="773">
        <f t="shared" si="6"/>
        <v>8.2029604962603599</v>
      </c>
      <c r="L53" s="773">
        <f t="shared" si="6"/>
        <v>0</v>
      </c>
      <c r="M53" s="773">
        <f t="shared" ca="1" si="6"/>
        <v>0</v>
      </c>
      <c r="N53" s="773">
        <f t="shared" si="6"/>
        <v>0</v>
      </c>
      <c r="O53" s="773">
        <f t="shared" ca="1" si="6"/>
        <v>0</v>
      </c>
      <c r="P53" s="773">
        <f>P41+P46+P48</f>
        <v>0</v>
      </c>
      <c r="Q53" s="774">
        <f t="shared" si="6"/>
        <v>0</v>
      </c>
      <c r="R53" s="775">
        <f ca="1">R41+R46+R48</f>
        <v>38764.499613532134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0.18980095032729108</v>
      </c>
      <c r="D55" s="836">
        <f t="shared" ca="1" si="7"/>
        <v>0.22444444444444445</v>
      </c>
      <c r="E55" s="836">
        <f t="shared" ca="1" si="7"/>
        <v>0.20199999999999999</v>
      </c>
      <c r="F55" s="836">
        <f t="shared" si="7"/>
        <v>0.22700000000000004</v>
      </c>
      <c r="G55" s="836">
        <f t="shared" ca="1" si="7"/>
        <v>0.26699999999999996</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3592.4097337716689</v>
      </c>
      <c r="C66" s="795">
        <f>'lokale energieproductie'!B6</f>
        <v>3592.4097337716689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4.9583333333333339</v>
      </c>
      <c r="C67" s="794">
        <f>B67*IFERROR(SUM(J67:L67)/SUM(D67:M67),0)</f>
        <v>0</v>
      </c>
      <c r="D67" s="826">
        <f>'lokale energieproductie'!C7</f>
        <v>5.5092592592592595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1.1128703703703704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3597.3680671050024</v>
      </c>
      <c r="C69" s="803">
        <f>SUM(C64:C68)</f>
        <v>3592.4097337716689</v>
      </c>
      <c r="D69" s="804">
        <f t="shared" ref="D69:M69" si="8">SUM(D67:D68)</f>
        <v>5.5092592592592595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1.1128703703703704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7.1024774774774784</v>
      </c>
      <c r="C78" s="817">
        <f>B78*IFERROR(SUM(I78:L78)/SUM(D78:M78),0)</f>
        <v>0</v>
      </c>
      <c r="D78" s="832">
        <f>'lokale energieproductie'!C16</f>
        <v>7.8916416416416428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1.5941116116116119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7.1024774774774784</v>
      </c>
      <c r="C81" s="803">
        <f>SUM(C78:C80)</f>
        <v>0</v>
      </c>
      <c r="D81" s="803">
        <f t="shared" ref="D81:P81" si="9">SUM(D78:D80)</f>
        <v>7.8916416416416428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1.5941116116116119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17598.656773271003</v>
      </c>
      <c r="C4" s="478">
        <f>huishoudens!C8</f>
        <v>0</v>
      </c>
      <c r="D4" s="478">
        <f>huishoudens!D8</f>
        <v>18490.0782913</v>
      </c>
      <c r="E4" s="478">
        <f>huishoudens!E8</f>
        <v>7001.6591439908279</v>
      </c>
      <c r="F4" s="478">
        <f>huishoudens!F8</f>
        <v>45146.583074100934</v>
      </c>
      <c r="G4" s="478">
        <f>huishoudens!G8</f>
        <v>0</v>
      </c>
      <c r="H4" s="478">
        <f>huishoudens!H8</f>
        <v>0</v>
      </c>
      <c r="I4" s="478">
        <f>huishoudens!I8</f>
        <v>0</v>
      </c>
      <c r="J4" s="478">
        <f>huishoudens!J8</f>
        <v>0</v>
      </c>
      <c r="K4" s="478">
        <f>huishoudens!K8</f>
        <v>0</v>
      </c>
      <c r="L4" s="478">
        <f>huishoudens!L8</f>
        <v>0</v>
      </c>
      <c r="M4" s="478">
        <f>huishoudens!M8</f>
        <v>0</v>
      </c>
      <c r="N4" s="478">
        <f>huishoudens!N8</f>
        <v>6289.0180236827973</v>
      </c>
      <c r="O4" s="478">
        <f>huishoudens!O8</f>
        <v>156.33333333333334</v>
      </c>
      <c r="P4" s="479">
        <f>huishoudens!P8</f>
        <v>991.4666666666667</v>
      </c>
      <c r="Q4" s="480">
        <f>SUM(B4:P4)</f>
        <v>95673.79530634555</v>
      </c>
    </row>
    <row r="5" spans="1:17">
      <c r="A5" s="477" t="s">
        <v>156</v>
      </c>
      <c r="B5" s="478">
        <f ca="1">tertiair!B16</f>
        <v>6166.5573333333332</v>
      </c>
      <c r="C5" s="478">
        <f ca="1">tertiair!C16</f>
        <v>7.1024774774774784</v>
      </c>
      <c r="D5" s="478">
        <f ca="1">tertiair!D16</f>
        <v>2786.0084150990992</v>
      </c>
      <c r="E5" s="478">
        <f>tertiair!E16</f>
        <v>130.84438112729163</v>
      </c>
      <c r="F5" s="478">
        <f ca="1">tertiair!F16</f>
        <v>1112.2760109920318</v>
      </c>
      <c r="G5" s="478">
        <f>tertiair!G16</f>
        <v>0</v>
      </c>
      <c r="H5" s="478">
        <f>tertiair!H16</f>
        <v>0</v>
      </c>
      <c r="I5" s="478">
        <f>tertiair!I16</f>
        <v>0</v>
      </c>
      <c r="J5" s="478">
        <f>tertiair!J16</f>
        <v>1.293797416675433E-2</v>
      </c>
      <c r="K5" s="478">
        <f>tertiair!K16</f>
        <v>0</v>
      </c>
      <c r="L5" s="478">
        <f ca="1">tertiair!L16</f>
        <v>0</v>
      </c>
      <c r="M5" s="478">
        <f>tertiair!M16</f>
        <v>0</v>
      </c>
      <c r="N5" s="478">
        <f ca="1">tertiair!N16</f>
        <v>519.21776996700032</v>
      </c>
      <c r="O5" s="478">
        <f>tertiair!O16</f>
        <v>0</v>
      </c>
      <c r="P5" s="479">
        <f>tertiair!P16</f>
        <v>0</v>
      </c>
      <c r="Q5" s="477">
        <f t="shared" ref="Q5:Q13" ca="1" si="0">SUM(B5:P5)</f>
        <v>10722.019325970401</v>
      </c>
    </row>
    <row r="6" spans="1:17">
      <c r="A6" s="477" t="s">
        <v>194</v>
      </c>
      <c r="B6" s="478">
        <f>'openbare verlichting'!B8</f>
        <v>546.03899999999999</v>
      </c>
      <c r="C6" s="478"/>
      <c r="D6" s="478"/>
      <c r="E6" s="478"/>
      <c r="F6" s="478"/>
      <c r="G6" s="478"/>
      <c r="H6" s="478"/>
      <c r="I6" s="478"/>
      <c r="J6" s="478"/>
      <c r="K6" s="478"/>
      <c r="L6" s="478"/>
      <c r="M6" s="478"/>
      <c r="N6" s="478"/>
      <c r="O6" s="478"/>
      <c r="P6" s="479"/>
      <c r="Q6" s="477">
        <f t="shared" si="0"/>
        <v>546.03899999999999</v>
      </c>
    </row>
    <row r="7" spans="1:17">
      <c r="A7" s="477" t="s">
        <v>112</v>
      </c>
      <c r="B7" s="478">
        <f>landbouw!B8</f>
        <v>159.85300000000001</v>
      </c>
      <c r="C7" s="478">
        <f>landbouw!C8</f>
        <v>0</v>
      </c>
      <c r="D7" s="478">
        <f>landbouw!D8</f>
        <v>52.932968000000002</v>
      </c>
      <c r="E7" s="478">
        <f>landbouw!E8</f>
        <v>4.6985679174162494</v>
      </c>
      <c r="F7" s="478">
        <f>landbouw!F8</f>
        <v>665.93895999726874</v>
      </c>
      <c r="G7" s="478">
        <f>landbouw!G8</f>
        <v>0</v>
      </c>
      <c r="H7" s="478">
        <f>landbouw!H8</f>
        <v>0</v>
      </c>
      <c r="I7" s="478">
        <f>landbouw!I8</f>
        <v>0</v>
      </c>
      <c r="J7" s="478">
        <f>landbouw!J8</f>
        <v>23.159266817529183</v>
      </c>
      <c r="K7" s="478">
        <f>landbouw!K8</f>
        <v>0</v>
      </c>
      <c r="L7" s="478">
        <f>landbouw!L8</f>
        <v>0</v>
      </c>
      <c r="M7" s="478">
        <f>landbouw!M8</f>
        <v>0</v>
      </c>
      <c r="N7" s="478">
        <f>landbouw!N8</f>
        <v>0</v>
      </c>
      <c r="O7" s="478">
        <f>landbouw!O8</f>
        <v>0</v>
      </c>
      <c r="P7" s="479">
        <f>landbouw!P8</f>
        <v>0</v>
      </c>
      <c r="Q7" s="477">
        <f t="shared" si="0"/>
        <v>906.58276273221418</v>
      </c>
    </row>
    <row r="8" spans="1:17">
      <c r="A8" s="477" t="s">
        <v>635</v>
      </c>
      <c r="B8" s="478">
        <f>industrie!B18</f>
        <v>948.72570000000007</v>
      </c>
      <c r="C8" s="478">
        <f>industrie!C18</f>
        <v>0</v>
      </c>
      <c r="D8" s="478">
        <f>industrie!D18</f>
        <v>462.42960280000005</v>
      </c>
      <c r="E8" s="478">
        <f>industrie!E18</f>
        <v>152.33689903713861</v>
      </c>
      <c r="F8" s="478">
        <f>industrie!F18</f>
        <v>446.5898554794245</v>
      </c>
      <c r="G8" s="478">
        <f>industrie!G18</f>
        <v>0</v>
      </c>
      <c r="H8" s="478">
        <f>industrie!H18</f>
        <v>0</v>
      </c>
      <c r="I8" s="478">
        <f>industrie!I18</f>
        <v>0</v>
      </c>
      <c r="J8" s="478">
        <f>industrie!J18</f>
        <v>0</v>
      </c>
      <c r="K8" s="478">
        <f>industrie!K18</f>
        <v>0</v>
      </c>
      <c r="L8" s="478">
        <f>industrie!L18</f>
        <v>0</v>
      </c>
      <c r="M8" s="478">
        <f>industrie!M18</f>
        <v>0</v>
      </c>
      <c r="N8" s="478">
        <f>industrie!N18</f>
        <v>186.07230788278102</v>
      </c>
      <c r="O8" s="478">
        <f>industrie!O18</f>
        <v>0</v>
      </c>
      <c r="P8" s="479">
        <f>industrie!P18</f>
        <v>0</v>
      </c>
      <c r="Q8" s="477">
        <f t="shared" si="0"/>
        <v>2196.1543651993443</v>
      </c>
    </row>
    <row r="9" spans="1:17" s="483" customFormat="1">
      <c r="A9" s="481" t="s">
        <v>561</v>
      </c>
      <c r="B9" s="482">
        <f>transport!B14</f>
        <v>26.631492381864689</v>
      </c>
      <c r="C9" s="482">
        <f>transport!C14</f>
        <v>0</v>
      </c>
      <c r="D9" s="482">
        <f>transport!D14</f>
        <v>102.40973310605793</v>
      </c>
      <c r="E9" s="482">
        <f>transport!E14</f>
        <v>134.70905689221019</v>
      </c>
      <c r="F9" s="482">
        <f>transport!F14</f>
        <v>0</v>
      </c>
      <c r="G9" s="482">
        <f>transport!G14</f>
        <v>45825.920773455269</v>
      </c>
      <c r="H9" s="482">
        <f>transport!H14</f>
        <v>11484.336509575169</v>
      </c>
      <c r="I9" s="482">
        <f>transport!I14</f>
        <v>0</v>
      </c>
      <c r="J9" s="482">
        <f>transport!J14</f>
        <v>0</v>
      </c>
      <c r="K9" s="482">
        <f>transport!K14</f>
        <v>0</v>
      </c>
      <c r="L9" s="482">
        <f>transport!L14</f>
        <v>0</v>
      </c>
      <c r="M9" s="482">
        <f>transport!M14</f>
        <v>3018.2428207782696</v>
      </c>
      <c r="N9" s="482">
        <f>transport!N14</f>
        <v>0</v>
      </c>
      <c r="O9" s="482">
        <f>transport!O14</f>
        <v>0</v>
      </c>
      <c r="P9" s="482">
        <f>transport!P14</f>
        <v>0</v>
      </c>
      <c r="Q9" s="481">
        <f>SUM(B9:P9)</f>
        <v>60592.250386188847</v>
      </c>
    </row>
    <row r="10" spans="1:17">
      <c r="A10" s="477" t="s">
        <v>551</v>
      </c>
      <c r="B10" s="478">
        <f>transport!B54</f>
        <v>0</v>
      </c>
      <c r="C10" s="478">
        <f>transport!C54</f>
        <v>0</v>
      </c>
      <c r="D10" s="478">
        <f>transport!D54</f>
        <v>0</v>
      </c>
      <c r="E10" s="478">
        <f>transport!E54</f>
        <v>0</v>
      </c>
      <c r="F10" s="478">
        <f>transport!F54</f>
        <v>0</v>
      </c>
      <c r="G10" s="478">
        <f>transport!G54</f>
        <v>276.38423506590385</v>
      </c>
      <c r="H10" s="478">
        <f>transport!H54</f>
        <v>0</v>
      </c>
      <c r="I10" s="478">
        <f>transport!I54</f>
        <v>0</v>
      </c>
      <c r="J10" s="478">
        <f>transport!J54</f>
        <v>0</v>
      </c>
      <c r="K10" s="478">
        <f>transport!K54</f>
        <v>0</v>
      </c>
      <c r="L10" s="478">
        <f>transport!L54</f>
        <v>0</v>
      </c>
      <c r="M10" s="478">
        <f>transport!M54</f>
        <v>15.697404432426147</v>
      </c>
      <c r="N10" s="478">
        <f>transport!N54</f>
        <v>0</v>
      </c>
      <c r="O10" s="478">
        <f>transport!O54</f>
        <v>0</v>
      </c>
      <c r="P10" s="479">
        <f>transport!P54</f>
        <v>0</v>
      </c>
      <c r="Q10" s="477">
        <f t="shared" si="0"/>
        <v>292.08163949832999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25446.4632989862</v>
      </c>
      <c r="C14" s="488">
        <f t="shared" ref="C14:Q14" ca="1" si="1">SUM(C4:C13)</f>
        <v>7.1024774774774784</v>
      </c>
      <c r="D14" s="488">
        <f t="shared" ca="1" si="1"/>
        <v>21893.859010305157</v>
      </c>
      <c r="E14" s="488">
        <f t="shared" si="1"/>
        <v>7424.2480489648842</v>
      </c>
      <c r="F14" s="488">
        <f t="shared" ca="1" si="1"/>
        <v>47371.387900569665</v>
      </c>
      <c r="G14" s="488">
        <f t="shared" si="1"/>
        <v>46102.305008521173</v>
      </c>
      <c r="H14" s="488">
        <f t="shared" si="1"/>
        <v>11484.336509575169</v>
      </c>
      <c r="I14" s="488">
        <f t="shared" si="1"/>
        <v>0</v>
      </c>
      <c r="J14" s="488">
        <f t="shared" si="1"/>
        <v>23.172204791695936</v>
      </c>
      <c r="K14" s="488">
        <f t="shared" si="1"/>
        <v>0</v>
      </c>
      <c r="L14" s="488">
        <f t="shared" ca="1" si="1"/>
        <v>0</v>
      </c>
      <c r="M14" s="488">
        <f t="shared" si="1"/>
        <v>3033.9402252106956</v>
      </c>
      <c r="N14" s="488">
        <f t="shared" ca="1" si="1"/>
        <v>6994.3081015325788</v>
      </c>
      <c r="O14" s="488">
        <f t="shared" si="1"/>
        <v>156.33333333333334</v>
      </c>
      <c r="P14" s="489">
        <f t="shared" si="1"/>
        <v>991.4666666666667</v>
      </c>
      <c r="Q14" s="489">
        <f t="shared" ca="1" si="1"/>
        <v>170928.92278593467</v>
      </c>
    </row>
    <row r="16" spans="1:17">
      <c r="A16" s="491" t="s">
        <v>556</v>
      </c>
      <c r="B16" s="841">
        <f ca="1">huishoudens!B10</f>
        <v>0.18980095032729111</v>
      </c>
      <c r="C16" s="841">
        <f ca="1">huishoudens!C10</f>
        <v>0.22444444444444445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3340.2417800506546</v>
      </c>
      <c r="C21" s="478">
        <f t="shared" ref="C21:C30" ca="1" si="3">C4*$C$16</f>
        <v>0</v>
      </c>
      <c r="D21" s="478">
        <f t="shared" ref="D21:D30" si="4">D4*$D$16</f>
        <v>3734.9958148426003</v>
      </c>
      <c r="E21" s="478">
        <f t="shared" ref="E21:E30" si="5">E4*$E$16</f>
        <v>1589.376625685918</v>
      </c>
      <c r="F21" s="478">
        <f t="shared" ref="F21:F30" si="6">F4*$F$16</f>
        <v>12054.13768078495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20718.751901364121</v>
      </c>
    </row>
    <row r="22" spans="1:17">
      <c r="A22" s="477" t="s">
        <v>156</v>
      </c>
      <c r="B22" s="478">
        <f t="shared" ca="1" si="2"/>
        <v>1170.4184421143927</v>
      </c>
      <c r="C22" s="478">
        <f t="shared" ca="1" si="3"/>
        <v>1.5941116116116119</v>
      </c>
      <c r="D22" s="478">
        <f t="shared" ca="1" si="4"/>
        <v>562.77369985001803</v>
      </c>
      <c r="E22" s="478">
        <f t="shared" si="5"/>
        <v>29.701674515895199</v>
      </c>
      <c r="F22" s="478">
        <f t="shared" ca="1" si="6"/>
        <v>296.97769493487255</v>
      </c>
      <c r="G22" s="478">
        <f t="shared" si="7"/>
        <v>0</v>
      </c>
      <c r="H22" s="478">
        <f t="shared" si="8"/>
        <v>0</v>
      </c>
      <c r="I22" s="478">
        <f t="shared" si="9"/>
        <v>0</v>
      </c>
      <c r="J22" s="478">
        <f t="shared" si="10"/>
        <v>4.5800428550310324E-3</v>
      </c>
      <c r="K22" s="478">
        <f t="shared" si="11"/>
        <v>0</v>
      </c>
      <c r="L22" s="478">
        <f t="shared" ca="1" si="12"/>
        <v>0</v>
      </c>
      <c r="M22" s="478">
        <f t="shared" si="13"/>
        <v>0</v>
      </c>
      <c r="N22" s="478">
        <f t="shared" ca="1" si="14"/>
        <v>0</v>
      </c>
      <c r="O22" s="478">
        <f t="shared" si="15"/>
        <v>0</v>
      </c>
      <c r="P22" s="479">
        <f t="shared" si="16"/>
        <v>0</v>
      </c>
      <c r="Q22" s="477">
        <f t="shared" ref="Q22:Q30" ca="1" si="17">SUM(B22:P22)</f>
        <v>2061.4702030696453</v>
      </c>
    </row>
    <row r="23" spans="1:17">
      <c r="A23" s="477" t="s">
        <v>194</v>
      </c>
      <c r="B23" s="478">
        <f t="shared" ca="1" si="2"/>
        <v>103.6387211157637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103.6387211157637</v>
      </c>
    </row>
    <row r="24" spans="1:17">
      <c r="A24" s="477" t="s">
        <v>112</v>
      </c>
      <c r="B24" s="478">
        <f t="shared" ca="1" si="2"/>
        <v>30.340251312668467</v>
      </c>
      <c r="C24" s="478">
        <f t="shared" ca="1" si="3"/>
        <v>0</v>
      </c>
      <c r="D24" s="478">
        <f t="shared" si="4"/>
        <v>10.692459536000001</v>
      </c>
      <c r="E24" s="478">
        <f t="shared" si="5"/>
        <v>1.0665749172534886</v>
      </c>
      <c r="F24" s="478">
        <f t="shared" si="6"/>
        <v>177.80570231927075</v>
      </c>
      <c r="G24" s="478">
        <f t="shared" si="7"/>
        <v>0</v>
      </c>
      <c r="H24" s="478">
        <f t="shared" si="8"/>
        <v>0</v>
      </c>
      <c r="I24" s="478">
        <f t="shared" si="9"/>
        <v>0</v>
      </c>
      <c r="J24" s="478">
        <f t="shared" si="10"/>
        <v>8.1983804534053295</v>
      </c>
      <c r="K24" s="478">
        <f t="shared" si="11"/>
        <v>0</v>
      </c>
      <c r="L24" s="478">
        <f t="shared" si="12"/>
        <v>0</v>
      </c>
      <c r="M24" s="478">
        <f t="shared" si="13"/>
        <v>0</v>
      </c>
      <c r="N24" s="478">
        <f t="shared" si="14"/>
        <v>0</v>
      </c>
      <c r="O24" s="478">
        <f t="shared" si="15"/>
        <v>0</v>
      </c>
      <c r="P24" s="479">
        <f t="shared" si="16"/>
        <v>0</v>
      </c>
      <c r="Q24" s="477">
        <f t="shared" ca="1" si="17"/>
        <v>228.10336853859803</v>
      </c>
    </row>
    <row r="25" spans="1:17">
      <c r="A25" s="477" t="s">
        <v>635</v>
      </c>
      <c r="B25" s="478">
        <f t="shared" ca="1" si="2"/>
        <v>180.06903945992451</v>
      </c>
      <c r="C25" s="478">
        <f t="shared" ca="1" si="3"/>
        <v>0</v>
      </c>
      <c r="D25" s="478">
        <f t="shared" si="4"/>
        <v>93.410779765600012</v>
      </c>
      <c r="E25" s="478">
        <f t="shared" si="5"/>
        <v>34.580476081430469</v>
      </c>
      <c r="F25" s="478">
        <f t="shared" si="6"/>
        <v>119.23949141300635</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427.29978671996133</v>
      </c>
    </row>
    <row r="26" spans="1:17" s="483" customFormat="1">
      <c r="A26" s="481" t="s">
        <v>561</v>
      </c>
      <c r="B26" s="835">
        <f t="shared" ca="1" si="2"/>
        <v>5.0546825627119309</v>
      </c>
      <c r="C26" s="482">
        <f t="shared" ca="1" si="3"/>
        <v>0</v>
      </c>
      <c r="D26" s="482">
        <f t="shared" si="4"/>
        <v>20.686766087423702</v>
      </c>
      <c r="E26" s="482">
        <f t="shared" si="5"/>
        <v>30.578955914531711</v>
      </c>
      <c r="F26" s="482">
        <f t="shared" si="6"/>
        <v>0</v>
      </c>
      <c r="G26" s="482">
        <f t="shared" si="7"/>
        <v>12235.520846512558</v>
      </c>
      <c r="H26" s="482">
        <f t="shared" si="8"/>
        <v>2859.5997908842169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15151.441041961441</v>
      </c>
    </row>
    <row r="27" spans="1:17">
      <c r="A27" s="477" t="s">
        <v>551</v>
      </c>
      <c r="B27" s="478">
        <f t="shared" ca="1" si="2"/>
        <v>0</v>
      </c>
      <c r="C27" s="478">
        <f t="shared" ca="1" si="3"/>
        <v>0</v>
      </c>
      <c r="D27" s="478">
        <f t="shared" si="4"/>
        <v>0</v>
      </c>
      <c r="E27" s="478">
        <f t="shared" si="5"/>
        <v>0</v>
      </c>
      <c r="F27" s="478">
        <f t="shared" si="6"/>
        <v>0</v>
      </c>
      <c r="G27" s="478">
        <f t="shared" si="7"/>
        <v>73.794590762596329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73.794590762596329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4829.762916616115</v>
      </c>
      <c r="C31" s="488">
        <f t="shared" ca="1" si="18"/>
        <v>1.5941116116116119</v>
      </c>
      <c r="D31" s="488">
        <f t="shared" ca="1" si="18"/>
        <v>4422.5595200816415</v>
      </c>
      <c r="E31" s="488">
        <f t="shared" si="18"/>
        <v>1685.3043071150289</v>
      </c>
      <c r="F31" s="488">
        <f t="shared" ca="1" si="18"/>
        <v>12648.160569452099</v>
      </c>
      <c r="G31" s="488">
        <f t="shared" si="18"/>
        <v>12309.315437275154</v>
      </c>
      <c r="H31" s="488">
        <f t="shared" si="18"/>
        <v>2859.5997908842169</v>
      </c>
      <c r="I31" s="488">
        <f t="shared" si="18"/>
        <v>0</v>
      </c>
      <c r="J31" s="488">
        <f t="shared" si="18"/>
        <v>8.2029604962603599</v>
      </c>
      <c r="K31" s="488">
        <f t="shared" si="18"/>
        <v>0</v>
      </c>
      <c r="L31" s="488">
        <f t="shared" ca="1" si="18"/>
        <v>0</v>
      </c>
      <c r="M31" s="488">
        <f t="shared" si="18"/>
        <v>0</v>
      </c>
      <c r="N31" s="488">
        <f t="shared" ca="1" si="18"/>
        <v>0</v>
      </c>
      <c r="O31" s="488">
        <f t="shared" si="18"/>
        <v>0</v>
      </c>
      <c r="P31" s="489">
        <f t="shared" si="18"/>
        <v>0</v>
      </c>
      <c r="Q31" s="489">
        <f t="shared" ca="1" si="18"/>
        <v>38764.499613532134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0.18980095032729111</v>
      </c>
      <c r="C17" s="528">
        <f ca="1">'EF ele_warmte'!B22</f>
        <v>0.22444444444444445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0.18980095032729111</v>
      </c>
      <c r="C17" s="528">
        <f ca="1">'EF ele_warmte'!B22</f>
        <v>0.22444444444444445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0.18980095032729111</v>
      </c>
      <c r="C29" s="529">
        <f ca="1">'EF ele_warmte'!B22</f>
        <v>0.22444444444444445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2018-09-06T12:47:02Z</dcterms:modified>
</cp:coreProperties>
</file>