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<sst xmlns="http://schemas.openxmlformats.org/spreadsheetml/2006/main" count="1914" uniqueCount="809">
  <si>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</si>
  <si>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</si>
  <si>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</si>
  <si>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</si>
  <si>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</si>
  <si>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</si>
  <si>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</si>
  <si>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</si>
  <si>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</si>
  <si>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</si>
  <si>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</si>
  <si>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</si>
  <si>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</si>
  <si>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</si>
  <si>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</si>
  <si>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</si>
  <si>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</si>
  <si>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</si>
  <si>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</si>
  <si>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</si>
  <si>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</si>
  <si>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</si>
  <si>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</si>
  <si>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</si>
  <si>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</si>
  <si>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</si>
  <si>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</si>
  <si>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</si>
  <si>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</si>
  <si>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</si>
  <si>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</si>
  <si>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</si>
  <si>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</si>
  <si>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</si>
  <si>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</si>
  <si>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</si>
  <si>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</si>
  <si>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</si>
  <si>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</si>
  <si>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</si>
  <si>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</si>
  <si>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</si>
  <si>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</si>
  <si>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</si>
  <si>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</si>
  <si>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</si>
  <si>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</si>
  <si>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</si>
  <si>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</si>
  <si>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</si>
  <si>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</si>
  <si>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</si>
  <si>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</si>
  <si>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</si>
  <si>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</si>
  <si>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</si>
  <si>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</si>
  <si>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</si>
  <si>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</si>
  <si>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</si>
  <si>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</si>
  <si>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</si>
  <si>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</si>
  <si>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</si>
  <si>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</si>
  <si>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</si>
  <si>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</si>
  <si>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</si>
  <si>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</si>
  <si>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</si>
  <si>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</si>
  <si>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</si>
  <si>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</si>
  <si>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</si>
  <si>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</si>
  <si>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</si>
  <si>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</si>
  <si>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</si>
  <si>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</si>
  <si>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</si>
  <si>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</si>
  <si>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</si>
  <si>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</si>
  <si>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</si>
  <si>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</si>
  <si>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</si>
  <si>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</si>
  <si>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</si>
  <si>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</si>
  <si>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</si>
  <si>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</si>
  <si>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</si>
  <si>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</si>
  <si>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</si>
  <si>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</si>
  <si>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</si>
  <si>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</si>
  <si>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</si>
  <si>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</si>
  <si>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</si>
  <si>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</si>
  <si>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</si>
  <si>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</si>
  <si>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</si>
  <si>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</si>
  <si>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</si>
  <si>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</si>
  <si>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</si>
  <si>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</si>
  <si>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</si>
  <si>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</si>
  <si>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</si>
  <si>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</si>
  <si>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</si>
  <si>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</si>
  <si>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</si>
  <si>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</si>
  <si>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</si>
  <si>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</si>
  <si>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</si>
  <si>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</si>
  <si>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</si>
  <si>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</si>
  <si>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</si>
  <si>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</si>
  <si>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</si>
  <si>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</si>
  <si>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</si>
  <si>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</si>
  <si>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</si>
  <si>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</si>
  <si>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</si>
  <si>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</si>
  <si>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</si>
  <si>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</si>
  <si>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</si>
  <si>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</si>
  <si>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</si>
  <si>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</si>
  <si>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</si>
  <si>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</si>
  <si>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</si>
  <si>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</si>
  <si>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</si>
  <si>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</si>
  <si>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</si>
  <si>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</si>
  <si>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</si>
  <si>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</si>
  <si>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</si>
  <si>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</si>
  <si>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</si>
  <si>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</si>
  <si>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</si>
  <si>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</si>
  <si>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</si>
  <si>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</si>
  <si>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</si>
  <si>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</si>
  <si>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</si>
  <si>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</si>
  <si>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</si>
  <si>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</si>
  <si>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</si>
  <si>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</si>
  <si>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</si>
  <si>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</si>
  <si>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</si>
  <si>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</si>
  <si>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</si>
  <si>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</si>
  <si>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</si>
  <si>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</si>
  <si>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</si>
  <si>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</si>
  <si>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</si>
  <si>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</si>
  <si>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</si>
  <si>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</si>
  <si>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</si>
  <si>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</si>
  <si>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</si>
  <si>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</si>
  <si>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</si>
  <si>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</si>
  <si>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</si>
  <si>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</si>
  <si>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</si>
  <si>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</si>
  <si>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</si>
  <si>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</si>
  <si>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</si>
  <si>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</si>
  <si>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</si>
  <si>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</si>
  <si>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</si>
  <si>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</si>
  <si>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</si>
  <si>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</si>
  <si>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</si>
  <si>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</si>
  <si>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</si>
  <si>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</si>
  <si>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</si>
  <si>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</si>
  <si>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</si>
  <si>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</si>
  <si>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</si>
  <si>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</si>
  <si>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</si>
  <si>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</si>
  <si>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</si>
  <si>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</si>
  <si>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</si>
  <si>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</si>
  <si>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</si>
  <si>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</si>
  <si>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</si>
  <si>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</si>
  <si>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</si>
  <si>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</si>
  <si>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</si>
  <si>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</si>
  <si>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</si>
  <si>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</si>
  <si>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</si>
  <si>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</si>
  <si>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</si>
  <si>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</si>
  <si>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</si>
  <si>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</si>
  <si>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</si>
  <si>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</si>
  <si>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</si>
  <si>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</si>
  <si>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</si>
  <si>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</si>
  <si>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</si>
  <si>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</si>
  <si>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</si>
  <si>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</si>
  <si>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</si>
  <si>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</si>
  <si>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</si>
  <si>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</si>
  <si>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</si>
  <si>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</si>
  <si>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</si>
  <si>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</si>
  <si>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</si>
  <si>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</si>
  <si>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</si>
  <si>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</si>
  <si>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</si>
  <si>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</si>
  <si>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</si>
  <si>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</si>
  <si>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</si>
  <si>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</si>
  <si>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</si>
  <si>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</si>
  <si>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</si>
  <si>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</si>
  <si>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</si>
  <si>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</si>
  <si>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</si>
  <si>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</si>
  <si>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</si>
  <si>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</si>
  <si>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</si>
  <si>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</si>
  <si>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</si>
  <si>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</si>
  <si>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</si>
  <si>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</si>
  <si>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</si>
  <si>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</si>
  <si>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</si>
  <si>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</si>
  <si>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</si>
  <si>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</si>
  <si>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</si>
  <si>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</si>
  <si>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</si>
  <si>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</si>
  <si>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</si>
  <si>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</si>
  <si>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</si>
  <si>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</si>
  <si>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</si>
  <si>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</si>
  <si>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</si>
  <si>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</si>
  <si>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</si>
  <si>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</si>
  <si>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</si>
  <si>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</si>
  <si>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</si>
  <si>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</si>
  <si>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</si>
  <si>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</si>
  <si>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</si>
  <si>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</si>
  <si>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</si>
  <si>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</si>
  <si>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</si>
  <si>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</si>
  <si>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</si>
  <si>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</si>
  <si>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</si>
  <si>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</si>
  <si>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</si>
  <si>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</si>
  <si>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</si>
  <si>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</si>
  <si>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</si>
  <si>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</si>
  <si>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</si>
  <si>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</si>
  <si>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</si>
  <si>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</si>
  <si>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</si>
  <si>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</si>
  <si>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</si>
  <si>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</si>
  <si>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</si>
  <si>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</si>
  <si>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</si>
  <si>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</si>
  <si>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</si>
  <si>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</si>
  <si>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</si>
  <si>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</si>
  <si>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</si>
  <si>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</si>
  <si>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</si>
  <si>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</si>
  <si>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</si>
  <si>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</si>
  <si>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</si>
  <si>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</si>
  <si>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</si>
  <si>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</si>
  <si>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</si>
  <si>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</si>
  <si>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</si>
  <si>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</si>
  <si>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</si>
  <si>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</si>
  <si>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</si>
  <si>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</si>
  <si>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</si>
  <si>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</si>
  <si>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</si>
  <si>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</si>
  <si>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</si>
  <si>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</si>
  <si>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</si>
  <si>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</si>
  <si>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</si>
  <si>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</si>
  <si>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</si>
  <si>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</si>
  <si>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</si>
  <si>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</si>
  <si>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</si>
  <si>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</si>
  <si>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</si>
  <si>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</si>
  <si>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</si>
  <si>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</si>
  <si>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</si>
  <si>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</si>
  <si>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</si>
  <si>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</si>
  <si>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</si>
  <si>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</si>
  <si>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</si>
  <si>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</si>
  <si>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</si>
  <si>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</si>
  <si>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</si>
  <si>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</si>
  <si>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</si>
  <si>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</si>
  <si>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</si>
  <si>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</si>
  <si>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</si>
  <si>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</si>
  <si>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</si>
  <si>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</si>
  <si>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</si>
  <si>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</si>
  <si>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</si>
  <si>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</si>
  <si>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</si>
  <si>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</si>
  <si>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</si>
  <si>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</si>
  <si>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</si>
  <si>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</si>
  <si>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</si>
  <si>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</si>
  <si>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</si>
  <si>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</si>
  <si>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</si>
  <si>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</si>
  <si>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</si>
  <si>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</si>
  <si>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</si>
  <si>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</si>
  <si>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</si>
  <si>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</si>
  <si>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</si>
  <si>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</si>
  <si>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</si>
  <si>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</si>
  <si>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</si>
  <si>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</si>
  <si>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</si>
  <si>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</si>
  <si>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</si>
  <si>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</si>
  <si>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</si>
  <si>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</si>
  <si>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</si>
  <si>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</si>
  <si>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</si>
  <si>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</si>
  <si>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</si>
  <si>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</si>
  <si>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</si>
  <si>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</si>
  <si>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</si>
  <si>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</si>
  <si>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</si>
  <si>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</si>
  <si>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</si>
  <si>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</si>
  <si>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</si>
  <si>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</si>
  <si>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</si>
  <si>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</si>
  <si>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</si>
  <si>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</si>
  <si>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</si>
  <si>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</si>
  <si>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</si>
  <si>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</si>
  <si>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</si>
  <si>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</si>
  <si>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</si>
  <si>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</si>
  <si>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</si>
  <si>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</si>
  <si>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</si>
  <si>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</si>
  <si>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</si>
  <si>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</si>
  <si>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</si>
  <si>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</si>
  <si>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</si>
  <si>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</si>
  <si>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</si>
  <si>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</si>
  <si>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</si>
  <si>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</si>
  <si>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</si>
  <si>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</si>
  <si>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</si>
  <si>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</si>
  <si>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</si>
  <si>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</si>
  <si>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</si>
  <si>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</si>
  <si>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</si>
  <si>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</si>
  <si>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</si>
  <si>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</si>
  <si>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</si>
  <si>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</si>
  <si>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</si>
  <si>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</si>
  <si>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</si>
  <si>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</si>
  <si>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</si>
  <si>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</si>
  <si>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</si>
  <si>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</si>
  <si>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</si>
  <si>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</si>
  <si>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</si>
  <si>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</si>
  <si>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</si>
  <si>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</si>
  <si>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</si>
  <si>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</si>
  <si>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</si>
  <si>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</si>
  <si>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</si>
  <si>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</si>
  <si>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</si>
  <si>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</si>
  <si>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</si>
  <si>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</si>
  <si>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</si>
  <si>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</si>
  <si>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</si>
  <si>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</si>
  <si>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</si>
  <si>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</si>
  <si>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</si>
  <si>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</si>
  <si>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</si>
  <si>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</si>
  <si>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</si>
  <si>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</si>
  <si>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</si>
  <si>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</si>
  <si>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</si>
  <si>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</si>
  <si>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</si>
  <si>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</si>
  <si>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</si>
  <si>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</si>
  <si>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</si>
  <si>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</si>
  <si>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</si>
  <si>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</si>
  <si>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</si>
  <si>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</si>
  <si>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</si>
  <si>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</si>
  <si>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</si>
  <si>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</si>
  <si>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</si>
  <si>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</si>
  <si>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</si>
  <si>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</si>
  <si>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</si>
  <si>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</si>
  <si>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</si>
  <si>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</si>
  <si>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</si>
  <si>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</si>
  <si>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</si>
  <si>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</si>
  <si>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</si>
  <si>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</si>
  <si>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</si>
  <si>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</si>
  <si>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</si>
  <si>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</si>
  <si>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</si>
  <si>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</si>
  <si>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</si>
  <si>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</si>
  <si>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</si>
  <si>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</si>
  <si>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</si>
  <si>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</si>
  <si>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</si>
  <si>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</si>
  <si>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</si>
  <si>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</si>
  <si>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</si>
  <si>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</si>
  <si>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</si>
  <si>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</si>
  <si>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</si>
  <si>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</si>
  <si>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</si>
  <si>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</si>
  <si>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</si>
  <si>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</si>
  <si>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</si>
  <si>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</si>
  <si>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</si>
  <si>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</si>
  <si>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</si>
  <si>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</si>
  <si>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</si>
  <si>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</si>
  <si>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</si>
  <si>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</si>
  <si>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</si>
  <si>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</si>
  <si>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</si>
  <si>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</si>
  <si>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</si>
  <si>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</si>
  <si>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</si>
  <si>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</si>
  <si>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</si>
  <si>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</si>
  <si>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</si>
  <si>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</si>
  <si>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</si>
  <si>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</si>
  <si>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</si>
  <si>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</si>
  <si>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</si>
  <si>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</si>
  <si>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</si>
  <si>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</si>
  <si>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</si>
  <si>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</si>
  <si>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</si>
  <si>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</si>
  <si>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</si>
  <si>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</si>
  <si>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</si>
  <si>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</si>
  <si>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</si>
  <si>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</si>
  <si>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</si>
  <si>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</si>
  <si>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</si>
  <si>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</si>
  <si>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</si>
  <si>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</si>
  <si>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</si>
  <si>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</si>
  <si>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</si>
  <si>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</si>
  <si>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</si>
  <si>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</si>
  <si>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</si>
  <si>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</si>
  <si>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</si>
  <si>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</si>
  <si>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</si>
  <si>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</si>
  <si>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</si>
  <si>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</si>
  <si>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</si>
  <si>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</si>
  <si>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</si>
  <si>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</si>
  <si>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</si>
  <si>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</si>
  <si>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</si>
  <si>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</si>
  <si>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</si>
  <si>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</si>
  <si>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</si>
  <si>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</si>
  <si>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</si>
  <si>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</si>
  <si>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</si>
  <si>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</si>
  <si>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</si>
  <si>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</si>
  <si>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</si>
  <si>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</si>
  <si>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</si>
  <si>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</si>
  <si>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</si>
  <si>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</si>
  <si>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</si>
  <si>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</si>
  <si>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</si>
  <si>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</si>
  <si>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</si>
  <si>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</si>
  <si>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</si>
  <si>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</si>
  <si>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</si>
  <si>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</si>
  <si>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</si>
  <si>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</si>
  <si>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</si>
  <si>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</si>
  <si>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</si>
  <si>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</si>
  <si>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</si>
  <si>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</si>
  <si>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</si>
  <si>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</si>
  <si>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</si>
  <si>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</si>
  <si>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</si>
  <si>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</si>
  <si>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</si>
  <si>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</si>
  <si>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</si>
  <si>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</si>
  <si>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</si>
  <si>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</si>
  <si>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</si>
  <si>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</si>
  <si>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</si>
  <si>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</si>
  <si>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</si>
  <si>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</si>
  <si>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</si>
  <si>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</si>
  <si>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</si>
  <si>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</si>
  <si>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</si>
  <si>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</si>
  <si>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</si>
  <si>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</si>
  <si>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</si>
  <si>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</si>
  <si>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</si>
  <si>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</si>
  <si>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</si>
  <si>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</si>
  <si>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</si>
  <si>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</si>
  <si>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</si>
  <si>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</si>
  <si>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</si>
  <si>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</si>
  <si>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</si>
  <si>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</si>
  <si>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</si>
  <si>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</si>
  <si>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</si>
  <si>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</si>
  <si>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</si>
  <si>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</si>
  <si>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</si>
  <si>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</si>
  <si>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</si>
  <si>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</si>
  <si>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</si>
  <si>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</si>
  <si>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</si>
  <si>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</si>
  <si>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</si>
  <si>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</si>
  <si>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</si>
  <si>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</si>
  <si>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</si>
  <si>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</si>
  <si>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</si>
  <si>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</si>
  <si>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</si>
  <si>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</si>
  <si>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</si>
  <si>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</si>
  <si>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</si>
  <si>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</si>
  <si>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</si>
  <si>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</si>
  <si>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</si>
  <si>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</si>
  <si>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</si>
  <si>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</si>
  <si>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</si>
  <si>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</si>
  <si>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</si>
  <si>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</si>
  <si>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</si>
  <si>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</si>
  <si>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</si>
  <si>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</si>
  <si>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</si>
  <si>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</si>
  <si>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</si>
  <si>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</si>
  <si>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</si>
  <si>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</si>
  <si>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</si>
  <si>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</si>
  <si>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</si>
  <si>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</si>
  <si>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</si>
  <si>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</si>
  <si>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</si>
  <si>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</si>
  <si>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</si>
  <si>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</si>
  <si>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</si>
  <si>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</si>
  <si>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</si>
  <si>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</si>
  <si>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</si>
  <si>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</si>
  <si>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</si>
  <si>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</si>
  <si>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</si>
  <si>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</si>
  <si>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</si>
  <si>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</si>
  <si>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</si>
  <si>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</si>
  <si>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</si>
  <si>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</si>
  <si>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</si>
  <si>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</si>
  <si>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</si>
  <si>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</si>
  <si>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</si>
  <si>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</si>
  <si>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</si>
  <si>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</si>
  <si>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</si>
  <si>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</si>
  <si>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23062</t>
  </si>
  <si>
    <t>OVERIJSE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</si>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</sst>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240426.77925528018</c:v>
                </c:pt>
                <c:pt idx="1">
                  <c:v>80592.808255093172</c:v>
                </c:pt>
                <c:pt idx="2">
                  <c:v>1574.0340000000001</c:v>
                </c:pt>
                <c:pt idx="3">
                  <c:v>9360.5438755477153</c:v>
                </c:pt>
                <c:pt idx="4">
                  <c:v>9214.9233357739613</c:v>
                </c:pt>
                <c:pt idx="5">
                  <c:v>298491.58414840599</c:v>
                </c:pt>
                <c:pt idx="6">
                  <c:v>4208.147510051368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240426.77925528018</c:v>
                </c:pt>
                <c:pt idx="1">
                  <c:v>80592.808255093172</c:v>
                </c:pt>
                <c:pt idx="2">
                  <c:v>1574.0340000000001</c:v>
                </c:pt>
                <c:pt idx="3">
                  <c:v>9360.5438755477153</c:v>
                </c:pt>
                <c:pt idx="4">
                  <c:v>9214.9233357739613</c:v>
                </c:pt>
                <c:pt idx="5">
                  <c:v>298491.58414840599</c:v>
                </c:pt>
                <c:pt idx="6">
                  <c:v>4208.147510051368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49855.759617299183</c:v>
                </c:pt>
                <c:pt idx="1">
                  <c:v>15845.109831615158</c:v>
                </c:pt>
                <c:pt idx="2">
                  <c:v>332.42201184567256</c:v>
                </c:pt>
                <c:pt idx="3">
                  <c:v>2060.1358774041096</c:v>
                </c:pt>
                <c:pt idx="4">
                  <c:v>1604.3911215112194</c:v>
                </c:pt>
                <c:pt idx="5">
                  <c:v>74652.315733264797</c:v>
                </c:pt>
                <c:pt idx="6">
                  <c:v>1063.1908390621552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49855.759617299183</c:v>
                </c:pt>
                <c:pt idx="1">
                  <c:v>15845.109831615158</c:v>
                </c:pt>
                <c:pt idx="2">
                  <c:v>332.42201184567256</c:v>
                </c:pt>
                <c:pt idx="3">
                  <c:v>2060.1358774041096</c:v>
                </c:pt>
                <c:pt idx="4">
                  <c:v>1604.3911215112194</c:v>
                </c:pt>
                <c:pt idx="5">
                  <c:v>74652.315733264797</c:v>
                </c:pt>
                <c:pt idx="6">
                  <c:v>1063.1908390621552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23062</v>
      </c>
      <c r="B6" s="415"/>
      <c r="C6" s="416"/>
    </row>
    <row r="7" spans="1:7" s="413" customFormat="1" ht="15.75" customHeight="1">
      <c r="A7" s="417" t="str">
        <f>txtMunicipality</f>
        <v>OVERIJSE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9811</v>
      </c>
      <c r="C9" s="342">
        <v>10641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1564.26</v>
      </c>
    </row>
    <row r="15" spans="1:6">
      <c r="A15" s="348" t="s">
        <v>184</v>
      </c>
      <c r="B15" s="334">
        <v>2</v>
      </c>
    </row>
    <row r="16" spans="1:6">
      <c r="A16" s="348" t="s">
        <v>6</v>
      </c>
      <c r="B16" s="334">
        <v>127</v>
      </c>
    </row>
    <row r="17" spans="1:6">
      <c r="A17" s="348" t="s">
        <v>7</v>
      </c>
      <c r="B17" s="334">
        <v>53</v>
      </c>
    </row>
    <row r="18" spans="1:6">
      <c r="A18" s="348" t="s">
        <v>8</v>
      </c>
      <c r="B18" s="334">
        <v>130</v>
      </c>
    </row>
    <row r="19" spans="1:6">
      <c r="A19" s="348" t="s">
        <v>9</v>
      </c>
      <c r="B19" s="334">
        <v>167</v>
      </c>
    </row>
    <row r="20" spans="1:6">
      <c r="A20" s="348" t="s">
        <v>10</v>
      </c>
      <c r="B20" s="334">
        <v>83</v>
      </c>
    </row>
    <row r="21" spans="1:6">
      <c r="A21" s="348" t="s">
        <v>11</v>
      </c>
      <c r="B21" s="334">
        <v>0</v>
      </c>
    </row>
    <row r="22" spans="1:6">
      <c r="A22" s="348" t="s">
        <v>12</v>
      </c>
      <c r="B22" s="334">
        <v>3</v>
      </c>
    </row>
    <row r="23" spans="1:6">
      <c r="A23" s="348" t="s">
        <v>13</v>
      </c>
      <c r="B23" s="334">
        <v>0</v>
      </c>
    </row>
    <row r="24" spans="1:6">
      <c r="A24" s="348" t="s">
        <v>14</v>
      </c>
      <c r="B24" s="334">
        <v>0</v>
      </c>
    </row>
    <row r="25" spans="1:6">
      <c r="A25" s="348" t="s">
        <v>15</v>
      </c>
      <c r="B25" s="334">
        <v>0</v>
      </c>
    </row>
    <row r="26" spans="1:6">
      <c r="A26" s="348" t="s">
        <v>16</v>
      </c>
      <c r="B26" s="334">
        <v>299</v>
      </c>
    </row>
    <row r="27" spans="1:6">
      <c r="A27" s="348" t="s">
        <v>17</v>
      </c>
      <c r="B27" s="334">
        <v>6</v>
      </c>
    </row>
    <row r="28" spans="1:6" s="356" customFormat="1">
      <c r="A28" s="355" t="s">
        <v>18</v>
      </c>
      <c r="B28" s="355">
        <v>34</v>
      </c>
    </row>
    <row r="29" spans="1:6">
      <c r="A29" s="355" t="s">
        <v>744</v>
      </c>
      <c r="B29" s="355">
        <v>157</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25653.9416056136</v>
      </c>
    </row>
    <row r="37" spans="1:6">
      <c r="A37" s="348" t="s">
        <v>25</v>
      </c>
      <c r="B37" s="348" t="s">
        <v>28</v>
      </c>
      <c r="C37" s="334">
        <v>0</v>
      </c>
      <c r="D37" s="334">
        <v>0</v>
      </c>
      <c r="E37" s="334">
        <v>0</v>
      </c>
      <c r="F37" s="334">
        <v>0</v>
      </c>
    </row>
    <row r="38" spans="1:6">
      <c r="A38" s="348" t="s">
        <v>25</v>
      </c>
      <c r="B38" s="348" t="s">
        <v>29</v>
      </c>
      <c r="C38" s="334">
        <v>1</v>
      </c>
      <c r="D38" s="334">
        <v>33126.6281069045</v>
      </c>
      <c r="E38" s="334">
        <v>3</v>
      </c>
      <c r="F38" s="334">
        <v>65103.528302104802</v>
      </c>
    </row>
    <row r="39" spans="1:6">
      <c r="A39" s="348" t="s">
        <v>30</v>
      </c>
      <c r="B39" s="348" t="s">
        <v>31</v>
      </c>
      <c r="C39" s="334">
        <v>6092</v>
      </c>
      <c r="D39" s="334">
        <v>148741568.77404201</v>
      </c>
      <c r="E39" s="334">
        <v>9562</v>
      </c>
      <c r="F39" s="334">
        <v>40458110.774835601</v>
      </c>
    </row>
    <row r="40" spans="1:6">
      <c r="A40" s="348" t="s">
        <v>30</v>
      </c>
      <c r="B40" s="348" t="s">
        <v>29</v>
      </c>
      <c r="C40" s="334">
        <v>1</v>
      </c>
      <c r="D40" s="334">
        <v>22501.779829778799</v>
      </c>
      <c r="E40" s="334">
        <v>1</v>
      </c>
      <c r="F40" s="334">
        <v>7492.2508803039</v>
      </c>
    </row>
    <row r="41" spans="1:6">
      <c r="A41" s="348" t="s">
        <v>32</v>
      </c>
      <c r="B41" s="348" t="s">
        <v>33</v>
      </c>
      <c r="C41" s="334">
        <v>68</v>
      </c>
      <c r="D41" s="334">
        <v>2130176.8513133801</v>
      </c>
      <c r="E41" s="334">
        <v>152</v>
      </c>
      <c r="F41" s="334">
        <v>1251653.3791773799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78358.395786482797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155743.12222043599</v>
      </c>
      <c r="E47" s="334">
        <v>15</v>
      </c>
      <c r="F47" s="334">
        <v>430975.79716420098</v>
      </c>
    </row>
    <row r="48" spans="1:6">
      <c r="A48" s="348" t="s">
        <v>32</v>
      </c>
      <c r="B48" s="348" t="s">
        <v>29</v>
      </c>
      <c r="C48" s="334">
        <v>26</v>
      </c>
      <c r="D48" s="334">
        <v>759496.83392106998</v>
      </c>
      <c r="E48" s="334">
        <v>34</v>
      </c>
      <c r="F48" s="334">
        <v>556744.28883924906</v>
      </c>
    </row>
    <row r="49" spans="1:6">
      <c r="A49" s="348" t="s">
        <v>32</v>
      </c>
      <c r="B49" s="348" t="s">
        <v>40</v>
      </c>
      <c r="C49" s="334">
        <v>0</v>
      </c>
      <c r="D49" s="334">
        <v>0</v>
      </c>
      <c r="E49" s="334">
        <v>0</v>
      </c>
      <c r="F49" s="334">
        <v>0</v>
      </c>
    </row>
    <row r="50" spans="1:6">
      <c r="A50" s="348" t="s">
        <v>32</v>
      </c>
      <c r="B50" s="348" t="s">
        <v>41</v>
      </c>
      <c r="C50" s="334">
        <v>3</v>
      </c>
      <c r="D50" s="334">
        <v>362714.27348789998</v>
      </c>
      <c r="E50" s="334">
        <v>9</v>
      </c>
      <c r="F50" s="334">
        <v>437809.54000380699</v>
      </c>
    </row>
    <row r="51" spans="1:6">
      <c r="A51" s="348" t="s">
        <v>42</v>
      </c>
      <c r="B51" s="348" t="s">
        <v>43</v>
      </c>
      <c r="C51" s="334">
        <v>18</v>
      </c>
      <c r="D51" s="334">
        <v>1182829.28081227</v>
      </c>
      <c r="E51" s="334">
        <v>90</v>
      </c>
      <c r="F51" s="334">
        <v>499218.96689121099</v>
      </c>
    </row>
    <row r="52" spans="1:6">
      <c r="A52" s="348" t="s">
        <v>42</v>
      </c>
      <c r="B52" s="348" t="s">
        <v>29</v>
      </c>
      <c r="C52" s="334">
        <v>3</v>
      </c>
      <c r="D52" s="334">
        <v>89243.8645162842</v>
      </c>
      <c r="E52" s="334">
        <v>8</v>
      </c>
      <c r="F52" s="334">
        <v>60037.768319085801</v>
      </c>
    </row>
    <row r="53" spans="1:6">
      <c r="A53" s="348" t="s">
        <v>44</v>
      </c>
      <c r="B53" s="348" t="s">
        <v>45</v>
      </c>
      <c r="C53" s="334">
        <v>194</v>
      </c>
      <c r="D53" s="334">
        <v>5794435.9984939704</v>
      </c>
      <c r="E53" s="334">
        <v>371</v>
      </c>
      <c r="F53" s="334">
        <v>1688463.65904492</v>
      </c>
    </row>
    <row r="54" spans="1:6">
      <c r="A54" s="348" t="s">
        <v>46</v>
      </c>
      <c r="B54" s="348" t="s">
        <v>47</v>
      </c>
      <c r="C54" s="334">
        <v>0</v>
      </c>
      <c r="D54" s="334">
        <v>0</v>
      </c>
      <c r="E54" s="334">
        <v>1</v>
      </c>
      <c r="F54" s="334">
        <v>1574034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v>
      </c>
      <c r="D57" s="334">
        <v>9929376.3353300001</v>
      </c>
      <c r="E57" s="334">
        <v>171</v>
      </c>
      <c r="F57" s="334">
        <v>5568746.0502294097</v>
      </c>
    </row>
    <row r="58" spans="1:6">
      <c r="A58" s="348" t="s">
        <v>49</v>
      </c>
      <c r="B58" s="348" t="s">
        <v>51</v>
      </c>
      <c r="C58" s="334">
        <v>45</v>
      </c>
      <c r="D58" s="334">
        <v>3462214.2021012101</v>
      </c>
      <c r="E58" s="334">
        <v>63</v>
      </c>
      <c r="F58" s="334">
        <v>1100957.6599109101</v>
      </c>
    </row>
    <row r="59" spans="1:6">
      <c r="A59" s="348" t="s">
        <v>49</v>
      </c>
      <c r="B59" s="348" t="s">
        <v>52</v>
      </c>
      <c r="C59" s="334">
        <v>125</v>
      </c>
      <c r="D59" s="334">
        <v>7355262.3661336498</v>
      </c>
      <c r="E59" s="334">
        <v>273</v>
      </c>
      <c r="F59" s="334">
        <v>7858269.1541821398</v>
      </c>
    </row>
    <row r="60" spans="1:6">
      <c r="A60" s="348" t="s">
        <v>49</v>
      </c>
      <c r="B60" s="348" t="s">
        <v>53</v>
      </c>
      <c r="C60" s="334">
        <v>86</v>
      </c>
      <c r="D60" s="334">
        <v>4969601.7790632499</v>
      </c>
      <c r="E60" s="334">
        <v>100</v>
      </c>
      <c r="F60" s="334">
        <v>3366740.06387959</v>
      </c>
    </row>
    <row r="61" spans="1:6">
      <c r="A61" s="348" t="s">
        <v>49</v>
      </c>
      <c r="B61" s="348" t="s">
        <v>54</v>
      </c>
      <c r="C61" s="334">
        <v>268</v>
      </c>
      <c r="D61" s="334">
        <v>11817071.187725101</v>
      </c>
      <c r="E61" s="334">
        <v>547</v>
      </c>
      <c r="F61" s="334">
        <v>6319844.2473523002</v>
      </c>
    </row>
    <row r="62" spans="1:6">
      <c r="A62" s="348" t="s">
        <v>49</v>
      </c>
      <c r="B62" s="348" t="s">
        <v>55</v>
      </c>
      <c r="C62" s="334">
        <v>11</v>
      </c>
      <c r="D62" s="334">
        <v>680502.80026818195</v>
      </c>
      <c r="E62" s="334">
        <v>15</v>
      </c>
      <c r="F62" s="334">
        <v>141337.32317507401</v>
      </c>
    </row>
    <row r="63" spans="1:6">
      <c r="A63" s="348" t="s">
        <v>49</v>
      </c>
      <c r="B63" s="348" t="s">
        <v>29</v>
      </c>
      <c r="C63" s="334">
        <v>103</v>
      </c>
      <c r="D63" s="334">
        <v>7782383.2433465701</v>
      </c>
      <c r="E63" s="334">
        <v>98</v>
      </c>
      <c r="F63" s="334">
        <v>3966818.0573893702</v>
      </c>
    </row>
    <row r="64" spans="1:6">
      <c r="A64" s="348" t="s">
        <v>56</v>
      </c>
      <c r="B64" s="348" t="s">
        <v>57</v>
      </c>
      <c r="C64" s="334">
        <v>0</v>
      </c>
      <c r="D64" s="334">
        <v>0</v>
      </c>
      <c r="E64" s="334">
        <v>0</v>
      </c>
      <c r="F64" s="334">
        <v>0</v>
      </c>
    </row>
    <row r="65" spans="1:6">
      <c r="A65" s="348" t="s">
        <v>56</v>
      </c>
      <c r="B65" s="348" t="s">
        <v>29</v>
      </c>
      <c r="C65" s="334">
        <v>4</v>
      </c>
      <c r="D65" s="334">
        <v>389774.909132956</v>
      </c>
      <c r="E65" s="334">
        <v>3</v>
      </c>
      <c r="F65" s="334">
        <v>148691.642672621</v>
      </c>
    </row>
    <row r="66" spans="1:6">
      <c r="A66" s="348" t="s">
        <v>56</v>
      </c>
      <c r="B66" s="348" t="s">
        <v>58</v>
      </c>
      <c r="C66" s="334">
        <v>0</v>
      </c>
      <c r="D66" s="334">
        <v>0</v>
      </c>
      <c r="E66" s="334">
        <v>22</v>
      </c>
      <c r="F66" s="334">
        <v>269067.07053991599</v>
      </c>
    </row>
    <row r="67" spans="1:6">
      <c r="A67" s="355" t="s">
        <v>56</v>
      </c>
      <c r="B67" s="355" t="s">
        <v>59</v>
      </c>
      <c r="C67" s="334">
        <v>0</v>
      </c>
      <c r="D67" s="334">
        <v>0</v>
      </c>
      <c r="E67" s="334">
        <v>0</v>
      </c>
      <c r="F67" s="334">
        <v>0</v>
      </c>
    </row>
    <row r="68" spans="1:6">
      <c r="A68" s="341" t="s">
        <v>56</v>
      </c>
      <c r="B68" s="341" t="s">
        <v>60</v>
      </c>
      <c r="C68" s="334">
        <v>4</v>
      </c>
      <c r="D68" s="334">
        <v>272664.19686623599</v>
      </c>
      <c r="E68" s="334">
        <v>16</v>
      </c>
      <c r="F68" s="334">
        <v>108003.109820135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88566049</v>
      </c>
      <c r="E73" s="476">
        <v>89594118.576800898</v>
      </c>
    </row>
    <row r="74" spans="1:6">
      <c r="A74" s="348" t="s">
        <v>64</v>
      </c>
      <c r="B74" s="348" t="s">
        <v>657</v>
      </c>
      <c r="C74" s="1213" t="s">
        <v>659</v>
      </c>
      <c r="D74" s="476">
        <v>3138789.0327664856</v>
      </c>
      <c r="E74" s="476">
        <v>3198864.6171060428</v>
      </c>
    </row>
    <row r="75" spans="1:6">
      <c r="A75" s="348" t="s">
        <v>65</v>
      </c>
      <c r="B75" s="348" t="s">
        <v>656</v>
      </c>
      <c r="C75" s="1213" t="s">
        <v>660</v>
      </c>
      <c r="D75" s="476">
        <v>49581861</v>
      </c>
      <c r="E75" s="476">
        <v>50167539.529720239</v>
      </c>
    </row>
    <row r="76" spans="1:6">
      <c r="A76" s="348" t="s">
        <v>65</v>
      </c>
      <c r="B76" s="348" t="s">
        <v>657</v>
      </c>
      <c r="C76" s="1213" t="s">
        <v>661</v>
      </c>
      <c r="D76" s="476">
        <v>977578.03276648582</v>
      </c>
      <c r="E76" s="476">
        <v>1000360.0221467065</v>
      </c>
    </row>
    <row r="77" spans="1:6">
      <c r="A77" s="348" t="s">
        <v>66</v>
      </c>
      <c r="B77" s="348" t="s">
        <v>656</v>
      </c>
      <c r="C77" s="1213" t="s">
        <v>662</v>
      </c>
      <c r="D77" s="476">
        <v>219927186</v>
      </c>
      <c r="E77" s="476">
        <v>224393560.67721808</v>
      </c>
    </row>
    <row r="78" spans="1:6">
      <c r="A78" s="341" t="s">
        <v>66</v>
      </c>
      <c r="B78" s="341" t="s">
        <v>657</v>
      </c>
      <c r="C78" s="341" t="s">
        <v>663</v>
      </c>
      <c r="D78" s="1214">
        <v>16163898</v>
      </c>
      <c r="E78" s="1214">
        <v>16936603.480130993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1141319.9344670284</v>
      </c>
      <c r="C83" s="476">
        <v>1142873.1020199861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26.385930061433445</v>
      </c>
    </row>
    <row r="90" spans="1:6">
      <c r="A90" s="348" t="s">
        <v>549</v>
      </c>
      <c r="B90" s="1215">
        <v>0</v>
      </c>
    </row>
    <row r="91" spans="1:6">
      <c r="A91" s="348" t="s">
        <v>68</v>
      </c>
      <c r="B91" s="334">
        <v>3122.7625013783831</v>
      </c>
    </row>
    <row r="92" spans="1:6">
      <c r="A92" s="341" t="s">
        <v>69</v>
      </c>
      <c r="B92" s="342">
        <v>265.79476340133868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81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179</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76940.778148632249</v>
      </c>
      <c r="C3" s="43" t="s">
        <v>170</v>
      </c>
      <c r="D3" s="43"/>
      <c r="E3" s="154"/>
      <c r="F3" s="43"/>
      <c r="G3" s="43"/>
      <c r="H3" s="43"/>
      <c r="I3" s="43"/>
      <c r="J3" s="43"/>
      <c r="K3" s="96"/>
    </row>
    <row r="4" spans="1:11">
      <c r="A4" s="383" t="s">
        <v>171</v>
      </c>
      <c r="B4" s="49">
        <f>IF(ISERROR('SEAP template'!B69),0,'SEAP template'!B69)</f>
        <v>3414.9431948411552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0.21119112537954868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1574.0340000000001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1574.0340000000001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0.21119112537954868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332.42201184567256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40465.6030257159</v>
      </c>
      <c r="C5" s="17">
        <f>IF(ISERROR('Eigen informatie GS &amp; warmtenet'!B57),0,'Eigen informatie GS &amp; warmtenet'!B57)</f>
        <v>0</v>
      </c>
      <c r="D5" s="30">
        <f>(SUM(HH_hh_gas_kWh,HH_rest_gas_kWh)/1000)*0.902</f>
        <v>134185.19163959235</v>
      </c>
      <c r="E5" s="17">
        <f>B46*B57</f>
        <v>4959.3592354065577</v>
      </c>
      <c r="F5" s="17">
        <f>B51*B62</f>
        <v>46513.484608771803</v>
      </c>
      <c r="G5" s="18"/>
      <c r="H5" s="17"/>
      <c r="I5" s="17"/>
      <c r="J5" s="17">
        <f>B50*B61+C50*C61</f>
        <v>0</v>
      </c>
      <c r="K5" s="17"/>
      <c r="L5" s="17"/>
      <c r="M5" s="17"/>
      <c r="N5" s="17">
        <f>B48*B59+C48*C59</f>
        <v>10049.378244415193</v>
      </c>
      <c r="O5" s="17">
        <f>B69*B70*B71</f>
        <v>406.4666666666667</v>
      </c>
      <c r="P5" s="17">
        <f>B77*B78*B79/1000-B77*B78*B79/1000/B80</f>
        <v>724.5333333333333</v>
      </c>
    </row>
    <row r="6" spans="1:16">
      <c r="A6" s="16" t="s">
        <v>621</v>
      </c>
      <c r="B6" s="843">
        <f>kWh_PV_kleiner_dan_10kW</f>
        <v>3122.7625013783831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43588.365527094284</v>
      </c>
      <c r="C8" s="21">
        <f>C5</f>
        <v>0</v>
      </c>
      <c r="D8" s="21">
        <f>D5</f>
        <v>134185.19163959235</v>
      </c>
      <c r="E8" s="21">
        <f>E5</f>
        <v>4959.3592354065577</v>
      </c>
      <c r="F8" s="21">
        <f>F5</f>
        <v>46513.484608771803</v>
      </c>
      <c r="G8" s="21"/>
      <c r="H8" s="21"/>
      <c r="I8" s="21"/>
      <c r="J8" s="21">
        <f>J5</f>
        <v>0</v>
      </c>
      <c r="K8" s="21"/>
      <c r="L8" s="21">
        <f>L5</f>
        <v>0</v>
      </c>
      <c r="M8" s="21">
        <f>M5</f>
        <v>0</v>
      </c>
      <c r="N8" s="21">
        <f>N5</f>
        <v>10049.378244415193</v>
      </c>
      <c r="O8" s="21">
        <f>O5</f>
        <v>406.4666666666667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0.21119112537954868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9205.4759691221661</v>
      </c>
      <c r="C12" s="23">
        <f ca="1">C10*C8</f>
        <v>0</v>
      </c>
      <c r="D12" s="23">
        <f>D8*D10</f>
        <v>27105.408711197655</v>
      </c>
      <c r="E12" s="23">
        <f>E10*E8</f>
        <v>1125.7745464372886</v>
      </c>
      <c r="F12" s="23">
        <f>F10*F8</f>
        <v>12419.100390542073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9811</v>
      </c>
      <c r="C28" s="36"/>
      <c r="D28" s="228"/>
    </row>
    <row r="29" spans="1:7" s="15" customFormat="1">
      <c r="A29" s="230" t="s">
        <v>795</v>
      </c>
      <c r="B29" s="37">
        <f>SUM(HH_hh_gas_aantal,HH_rest_gas_aantal)</f>
        <v>6093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6093</v>
      </c>
      <c r="C32" s="167">
        <f>IF(ISERROR(B32/SUM($B$32,$B$34,$B$35,$B$36,$B$38,$B$39)*100),0,B32/SUM($B$32,$B$34,$B$35,$B$36,$B$38,$B$39)*100)</f>
        <v>62.345236877110409</v>
      </c>
      <c r="D32" s="233"/>
      <c r="G32" s="15"/>
    </row>
    <row r="33" spans="1:7">
      <c r="A33" s="171" t="s">
        <v>72</v>
      </c>
      <c r="B33" s="34" t="s">
        <v>111</v>
      </c>
      <c r="C33" s="167"/>
      <c r="D33" s="233"/>
      <c r="G33" s="15"/>
    </row>
    <row r="34" spans="1:7">
      <c r="A34" s="171" t="s">
        <v>73</v>
      </c>
      <c r="B34" s="33">
        <f>IF((($B$28-$B$32-$B$39-$B$77-$B$38)*C20/100)&lt;0,0,($B$28-$B$32-$B$39-$B$77-$B$38)*C20/100)</f>
        <v>234.22554621848744</v>
      </c>
      <c r="C34" s="167">
        <f>IF(ISERROR(B34/SUM($B$32,$B$34,$B$35,$B$36,$B$38,$B$39)*100),0,B34/SUM($B$32,$B$34,$B$35,$B$36,$B$38,$B$39)*100)</f>
        <v>2.3966596359202641</v>
      </c>
      <c r="D34" s="233"/>
      <c r="G34" s="15"/>
    </row>
    <row r="35" spans="1:7">
      <c r="A35" s="171" t="s">
        <v>74</v>
      </c>
      <c r="B35" s="33">
        <f>IF((($B$28-$B$32-$B$39-$B$77-$B$38)*C21/100)&lt;0,0,($B$28-$B$32-$B$39-$B$77-$B$38)*C21/100)</f>
        <v>1509.8052100840337</v>
      </c>
      <c r="C35" s="167">
        <f>IF(ISERROR(B35/SUM($B$32,$B$34,$B$35,$B$36,$B$38,$B$39)*100),0,B35/SUM($B$32,$B$34,$B$35,$B$36,$B$38,$B$39)*100)</f>
        <v>15.448738463972514</v>
      </c>
      <c r="D35" s="233"/>
      <c r="G35" s="15"/>
    </row>
    <row r="36" spans="1:7">
      <c r="A36" s="171" t="s">
        <v>75</v>
      </c>
      <c r="B36" s="33">
        <f>IF((($B$28-$B$32-$B$39-$B$77-$B$38)*C22/100)&lt;0,0,($B$28-$B$32-$B$39-$B$77-$B$38)*C22/100)</f>
        <v>139.26924369747903</v>
      </c>
      <c r="C36" s="167">
        <f>IF(ISERROR(B36/SUM($B$32,$B$34,$B$35,$B$36,$B$38,$B$39)*100),0,B36/SUM($B$32,$B$34,$B$35,$B$36,$B$38,$B$39)*100)</f>
        <v>1.4250408646012382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1796.6999999999998</v>
      </c>
      <c r="C39" s="167">
        <f>IF(ISERROR(B39/SUM($B$32,$B$34,$B$35,$B$36,$B$38,$B$39)*100),0,B39/SUM($B$32,$B$34,$B$35,$B$36,$B$38,$B$39)*100)</f>
        <v>18.384324158395579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6093</v>
      </c>
      <c r="C44" s="34" t="s">
        <v>111</v>
      </c>
      <c r="D44" s="174"/>
    </row>
    <row r="45" spans="1:7">
      <c r="A45" s="171" t="s">
        <v>72</v>
      </c>
      <c r="B45" s="33" t="str">
        <f t="shared" si="0"/>
        <v>-</v>
      </c>
      <c r="C45" s="34" t="s">
        <v>111</v>
      </c>
      <c r="D45" s="174"/>
    </row>
    <row r="46" spans="1:7">
      <c r="A46" s="171" t="s">
        <v>73</v>
      </c>
      <c r="B46" s="33">
        <f t="shared" si="0"/>
        <v>234.22554621848744</v>
      </c>
      <c r="C46" s="34" t="s">
        <v>111</v>
      </c>
      <c r="D46" s="174"/>
    </row>
    <row r="47" spans="1:7">
      <c r="A47" s="171" t="s">
        <v>74</v>
      </c>
      <c r="B47" s="33">
        <f t="shared" si="0"/>
        <v>1509.8052100840337</v>
      </c>
      <c r="C47" s="34" t="s">
        <v>111</v>
      </c>
      <c r="D47" s="174"/>
    </row>
    <row r="48" spans="1:7">
      <c r="A48" s="171" t="s">
        <v>75</v>
      </c>
      <c r="B48" s="33">
        <f t="shared" si="0"/>
        <v>139.26924369747903</v>
      </c>
      <c r="C48" s="33">
        <f>B48*10</f>
        <v>1392.6924369747903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1796.6999999999998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28322.712556118793</v>
      </c>
      <c r="C5" s="17">
        <f>IF(ISERROR('Eigen informatie GS &amp; warmtenet'!B58),0,'Eigen informatie GS &amp; warmtenet'!B58)</f>
        <v>0</v>
      </c>
      <c r="D5" s="30">
        <f>SUM(D6:D12)</f>
        <v>41488.763546399103</v>
      </c>
      <c r="E5" s="17">
        <f>SUM(E6:E12)</f>
        <v>391.36832714259816</v>
      </c>
      <c r="F5" s="17">
        <f>SUM(F6:F12)</f>
        <v>5220.9260525771906</v>
      </c>
      <c r="G5" s="18"/>
      <c r="H5" s="17"/>
      <c r="I5" s="17"/>
      <c r="J5" s="17">
        <f>SUM(J6:J12)</f>
        <v>0.13048139790334598</v>
      </c>
      <c r="K5" s="17"/>
      <c r="L5" s="17"/>
      <c r="M5" s="17"/>
      <c r="N5" s="17">
        <f>SUM(N6:N12)</f>
        <v>5148.2772914575744</v>
      </c>
      <c r="O5" s="17">
        <f>B38*B39*B40</f>
        <v>1.5633333333333335</v>
      </c>
      <c r="P5" s="17">
        <f>B46*B47*B48/1000-B46*B47*B48/1000/B49</f>
        <v>19.066666666666666</v>
      </c>
      <c r="R5" s="32"/>
    </row>
    <row r="6" spans="1:18">
      <c r="A6" s="32" t="s">
        <v>54</v>
      </c>
      <c r="B6" s="37">
        <f>B26</f>
        <v>6319.8442473523</v>
      </c>
      <c r="C6" s="33"/>
      <c r="D6" s="37">
        <f>IF(ISERROR(TER_kantoor_gas_kWh/1000),0,TER_kantoor_gas_kWh/1000)*0.902</f>
        <v>10658.998211328042</v>
      </c>
      <c r="E6" s="33">
        <f>$C$26*'E Balans VL '!I12/100/3.6*1000000</f>
        <v>3.9610681795137513E-2</v>
      </c>
      <c r="F6" s="33">
        <f>$C$26*('E Balans VL '!L12+'E Balans VL '!N12)/100/3.6*1000000</f>
        <v>949.69599708641283</v>
      </c>
      <c r="G6" s="34"/>
      <c r="H6" s="33"/>
      <c r="I6" s="33"/>
      <c r="J6" s="33">
        <f>$C$26*('E Balans VL '!D12+'E Balans VL '!E12)/100/3.6*1000000</f>
        <v>0</v>
      </c>
      <c r="K6" s="33"/>
      <c r="L6" s="33"/>
      <c r="M6" s="33"/>
      <c r="N6" s="33">
        <f>$C$26*'E Balans VL '!Y12/100/3.6*1000000</f>
        <v>6.0439940028503543</v>
      </c>
      <c r="O6" s="33"/>
      <c r="P6" s="33"/>
      <c r="R6" s="32"/>
    </row>
    <row r="7" spans="1:18">
      <c r="A7" s="32" t="s">
        <v>53</v>
      </c>
      <c r="B7" s="37">
        <f t="shared" ref="B7:B12" si="0">B27</f>
        <v>3366.7400638795898</v>
      </c>
      <c r="C7" s="33"/>
      <c r="D7" s="37">
        <f>IF(ISERROR(TER_horeca_gas_kWh/1000),0,TER_horeca_gas_kWh/1000)*0.902</f>
        <v>4482.5808047150513</v>
      </c>
      <c r="E7" s="33">
        <f>$C$27*'E Balans VL '!I9/100/3.6*1000000</f>
        <v>48.21115692291518</v>
      </c>
      <c r="F7" s="33">
        <f>$C$27*('E Balans VL '!L9+'E Balans VL '!N9)/100/3.6*1000000</f>
        <v>426.34033145235037</v>
      </c>
      <c r="G7" s="34"/>
      <c r="H7" s="33"/>
      <c r="I7" s="33"/>
      <c r="J7" s="33">
        <f>$C$27*('E Balans VL '!D9+'E Balans VL '!E9)/100/3.6*1000000</f>
        <v>0</v>
      </c>
      <c r="K7" s="33"/>
      <c r="L7" s="33"/>
      <c r="M7" s="33"/>
      <c r="N7" s="33">
        <f>$C$27*'E Balans VL '!Y9/100/3.6*1000000</f>
        <v>0.96786353811887293</v>
      </c>
      <c r="O7" s="33"/>
      <c r="P7" s="33"/>
      <c r="R7" s="32"/>
    </row>
    <row r="8" spans="1:18">
      <c r="A8" s="6" t="s">
        <v>52</v>
      </c>
      <c r="B8" s="37">
        <f t="shared" si="0"/>
        <v>7858.2691541821396</v>
      </c>
      <c r="C8" s="33"/>
      <c r="D8" s="37">
        <f>IF(ISERROR(TER_handel_gas_kWh/1000),0,TER_handel_gas_kWh/1000)*0.902</f>
        <v>6634.4466542525524</v>
      </c>
      <c r="E8" s="33">
        <f>$C$28*'E Balans VL '!I13/100/3.6*1000000</f>
        <v>285.01845318384858</v>
      </c>
      <c r="F8" s="33">
        <f>$C$28*('E Balans VL '!L13+'E Balans VL '!N13)/100/3.6*1000000</f>
        <v>1513.5822091295711</v>
      </c>
      <c r="G8" s="34"/>
      <c r="H8" s="33"/>
      <c r="I8" s="33"/>
      <c r="J8" s="33">
        <f>$C$28*('E Balans VL '!D13+'E Balans VL '!E13)/100/3.6*1000000</f>
        <v>0</v>
      </c>
      <c r="K8" s="33"/>
      <c r="L8" s="33"/>
      <c r="M8" s="33"/>
      <c r="N8" s="33">
        <f>$C$28*'E Balans VL '!Y13/100/3.6*1000000</f>
        <v>10.885510885635483</v>
      </c>
      <c r="O8" s="33"/>
      <c r="P8" s="33"/>
      <c r="R8" s="32"/>
    </row>
    <row r="9" spans="1:18">
      <c r="A9" s="32" t="s">
        <v>51</v>
      </c>
      <c r="B9" s="37">
        <f t="shared" si="0"/>
        <v>1100.95765991091</v>
      </c>
      <c r="C9" s="33"/>
      <c r="D9" s="37">
        <f>IF(ISERROR(TER_gezond_gas_kWh/1000),0,TER_gezond_gas_kWh/1000)*0.902</f>
        <v>3122.9172102952916</v>
      </c>
      <c r="E9" s="33">
        <f>$C$29*'E Balans VL '!I10/100/3.6*1000000</f>
        <v>6.8930819503536772E-2</v>
      </c>
      <c r="F9" s="33">
        <f>$C$29*('E Balans VL '!L10+'E Balans VL '!N10)/100/3.6*1000000</f>
        <v>163.55061247660328</v>
      </c>
      <c r="G9" s="34"/>
      <c r="H9" s="33"/>
      <c r="I9" s="33"/>
      <c r="J9" s="33">
        <f>$C$29*('E Balans VL '!D10+'E Balans VL '!E10)/100/3.6*1000000</f>
        <v>0</v>
      </c>
      <c r="K9" s="33"/>
      <c r="L9" s="33"/>
      <c r="M9" s="33"/>
      <c r="N9" s="33">
        <f>$C$29*'E Balans VL '!Y10/100/3.6*1000000</f>
        <v>17.02971931683529</v>
      </c>
      <c r="O9" s="33"/>
      <c r="P9" s="33"/>
      <c r="R9" s="32"/>
    </row>
    <row r="10" spans="1:18">
      <c r="A10" s="32" t="s">
        <v>50</v>
      </c>
      <c r="B10" s="37">
        <f t="shared" si="0"/>
        <v>5568.7460502294098</v>
      </c>
      <c r="C10" s="33"/>
      <c r="D10" s="37">
        <f>IF(ISERROR(TER_ander_gas_kWh/1000),0,TER_ander_gas_kWh/1000)*0.902</f>
        <v>8956.2974544676599</v>
      </c>
      <c r="E10" s="33">
        <f>$C$30*'E Balans VL '!I14/100/3.6*1000000</f>
        <v>6.6377462985135915</v>
      </c>
      <c r="F10" s="33">
        <f>$C$30*('E Balans VL '!L14+'E Balans VL '!N14)/100/3.6*1000000</f>
        <v>1457.0315337447164</v>
      </c>
      <c r="G10" s="34"/>
      <c r="H10" s="33"/>
      <c r="I10" s="33"/>
      <c r="J10" s="33">
        <f>$C$30*('E Balans VL '!D14+'E Balans VL '!E14)/100/3.6*1000000</f>
        <v>0.12087564786870179</v>
      </c>
      <c r="K10" s="33"/>
      <c r="L10" s="33"/>
      <c r="M10" s="33"/>
      <c r="N10" s="33">
        <f>$C$30*'E Balans VL '!Y14/100/3.6*1000000</f>
        <v>4728.8428805570366</v>
      </c>
      <c r="O10" s="33"/>
      <c r="P10" s="33"/>
      <c r="R10" s="32"/>
    </row>
    <row r="11" spans="1:18">
      <c r="A11" s="32" t="s">
        <v>55</v>
      </c>
      <c r="B11" s="37">
        <f t="shared" si="0"/>
        <v>141.337323175074</v>
      </c>
      <c r="C11" s="33"/>
      <c r="D11" s="37">
        <f>IF(ISERROR(TER_onderwijs_gas_kWh/1000),0,TER_onderwijs_gas_kWh/1000)*0.902</f>
        <v>613.81352584190017</v>
      </c>
      <c r="E11" s="33">
        <f>$C$31*'E Balans VL '!I11/100/3.6*1000000</f>
        <v>2.1325525613061611</v>
      </c>
      <c r="F11" s="33">
        <f>$C$31*('E Balans VL '!L11+'E Balans VL '!N11)/100/3.6*1000000</f>
        <v>24.76455695118338</v>
      </c>
      <c r="G11" s="34"/>
      <c r="H11" s="33"/>
      <c r="I11" s="33"/>
      <c r="J11" s="33">
        <f>$C$31*('E Balans VL '!D11+'E Balans VL '!E11)/100/3.6*1000000</f>
        <v>0</v>
      </c>
      <c r="K11" s="33"/>
      <c r="L11" s="33"/>
      <c r="M11" s="33"/>
      <c r="N11" s="33">
        <f>$C$31*'E Balans VL '!Y11/100/3.6*1000000</f>
        <v>0.39773397228715096</v>
      </c>
      <c r="O11" s="33"/>
      <c r="P11" s="33"/>
      <c r="R11" s="32"/>
    </row>
    <row r="12" spans="1:18">
      <c r="A12" s="32" t="s">
        <v>260</v>
      </c>
      <c r="B12" s="37">
        <f t="shared" si="0"/>
        <v>3966.8180573893701</v>
      </c>
      <c r="C12" s="33"/>
      <c r="D12" s="37">
        <f>IF(ISERROR(TER_rest_gas_kWh/1000),0,TER_rest_gas_kWh/1000)*0.902</f>
        <v>7019.7096854986066</v>
      </c>
      <c r="E12" s="33">
        <f>$C$32*'E Balans VL '!I8/100/3.6*1000000</f>
        <v>49.25987667471599</v>
      </c>
      <c r="F12" s="33">
        <f>$C$32*('E Balans VL '!L8+'E Balans VL '!N8)/100/3.6*1000000</f>
        <v>685.96081173635287</v>
      </c>
      <c r="G12" s="34"/>
      <c r="H12" s="33"/>
      <c r="I12" s="33"/>
      <c r="J12" s="33">
        <f>$C$32*('E Balans VL '!D8+'E Balans VL '!E8)/100/3.6*1000000</f>
        <v>9.6057500346441969E-3</v>
      </c>
      <c r="K12" s="33"/>
      <c r="L12" s="33"/>
      <c r="M12" s="33"/>
      <c r="N12" s="33">
        <f>$C$32*'E Balans VL '!Y8/100/3.6*1000000</f>
        <v>384.10958918481106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28322.712556118793</v>
      </c>
      <c r="C16" s="21">
        <f t="shared" ca="1" si="1"/>
        <v>0</v>
      </c>
      <c r="D16" s="21">
        <f t="shared" ca="1" si="1"/>
        <v>41488.763546399103</v>
      </c>
      <c r="E16" s="21">
        <f t="shared" si="1"/>
        <v>391.36832714259816</v>
      </c>
      <c r="F16" s="21">
        <f t="shared" ca="1" si="1"/>
        <v>5220.9260525771906</v>
      </c>
      <c r="G16" s="21">
        <f t="shared" si="1"/>
        <v>0</v>
      </c>
      <c r="H16" s="21">
        <f t="shared" si="1"/>
        <v>0</v>
      </c>
      <c r="I16" s="21">
        <f t="shared" si="1"/>
        <v>0</v>
      </c>
      <c r="J16" s="21">
        <f t="shared" si="1"/>
        <v>0.13048139790334598</v>
      </c>
      <c r="K16" s="21">
        <f t="shared" si="1"/>
        <v>0</v>
      </c>
      <c r="L16" s="21">
        <f t="shared" ca="1" si="1"/>
        <v>0</v>
      </c>
      <c r="M16" s="21">
        <f t="shared" si="1"/>
        <v>0</v>
      </c>
      <c r="N16" s="21">
        <f t="shared" ca="1" si="1"/>
        <v>5148.2772914575744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0.21119112537954868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5981.5055385282012</v>
      </c>
      <c r="C20" s="23">
        <f t="shared" ref="C20:P20" ca="1" si="2">C16*C18</f>
        <v>0</v>
      </c>
      <c r="D20" s="23">
        <f t="shared" ca="1" si="2"/>
        <v>8380.7302363726194</v>
      </c>
      <c r="E20" s="23">
        <f t="shared" si="2"/>
        <v>88.84061026136979</v>
      </c>
      <c r="F20" s="23">
        <f t="shared" ca="1" si="2"/>
        <v>1393.98725603811</v>
      </c>
      <c r="G20" s="23">
        <f t="shared" si="2"/>
        <v>0</v>
      </c>
      <c r="H20" s="23">
        <f t="shared" si="2"/>
        <v>0</v>
      </c>
      <c r="I20" s="23">
        <f t="shared" si="2"/>
        <v>0</v>
      </c>
      <c r="J20" s="23">
        <f t="shared" si="2"/>
        <v>4.6190414857784474E-2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6319.8442473523</v>
      </c>
      <c r="C26" s="39">
        <f>IF(ISERROR(B26*3.6/1000000/'E Balans VL '!Z12*100),0,B26*3.6/1000000/'E Balans VL '!Z12*100)</f>
        <v>0.13359149594706488</v>
      </c>
      <c r="D26" s="237" t="s">
        <v>754</v>
      </c>
      <c r="F26" s="6"/>
    </row>
    <row r="27" spans="1:18">
      <c r="A27" s="231" t="s">
        <v>53</v>
      </c>
      <c r="B27" s="33">
        <f>IF(ISERROR(TER_horeca_ele_kWh/1000),0,TER_horeca_ele_kWh/1000)</f>
        <v>3366.7400638795898</v>
      </c>
      <c r="C27" s="39">
        <f>IF(ISERROR(B27*3.6/1000000/'E Balans VL '!Z9*100),0,B27*3.6/1000000/'E Balans VL '!Z9*100)</f>
        <v>0.26539886438754395</v>
      </c>
      <c r="D27" s="237" t="s">
        <v>754</v>
      </c>
      <c r="F27" s="6"/>
    </row>
    <row r="28" spans="1:18">
      <c r="A28" s="171" t="s">
        <v>52</v>
      </c>
      <c r="B28" s="33">
        <f>IF(ISERROR(TER_handel_ele_kWh/1000),0,TER_handel_ele_kWh/1000)</f>
        <v>7858.2691541821396</v>
      </c>
      <c r="C28" s="39">
        <f>IF(ISERROR(B28*3.6/1000000/'E Balans VL '!Z13*100),0,B28*3.6/1000000/'E Balans VL '!Z13*100)</f>
        <v>0.22807872181963809</v>
      </c>
      <c r="D28" s="237" t="s">
        <v>754</v>
      </c>
      <c r="F28" s="6"/>
    </row>
    <row r="29" spans="1:18">
      <c r="A29" s="231" t="s">
        <v>51</v>
      </c>
      <c r="B29" s="33">
        <f>IF(ISERROR(TER_gezond_ele_kWh/1000),0,TER_gezond_ele_kWh/1000)</f>
        <v>1100.95765991091</v>
      </c>
      <c r="C29" s="39">
        <f>IF(ISERROR(B29*3.6/1000000/'E Balans VL '!Z10*100),0,B29*3.6/1000000/'E Balans VL '!Z10*100)</f>
        <v>0.1159489197905892</v>
      </c>
      <c r="D29" s="237" t="s">
        <v>754</v>
      </c>
      <c r="F29" s="6"/>
    </row>
    <row r="30" spans="1:18">
      <c r="A30" s="231" t="s">
        <v>50</v>
      </c>
      <c r="B30" s="33">
        <f>IF(ISERROR(TER_ander_ele_kWh/1000),0,TER_ander_ele_kWh/1000)</f>
        <v>5568.7460502294098</v>
      </c>
      <c r="C30" s="39">
        <f>IF(ISERROR(B30*3.6/1000000/'E Balans VL '!Z14*100),0,B30*3.6/1000000/'E Balans VL '!Z14*100)</f>
        <v>0.41075191819054679</v>
      </c>
      <c r="D30" s="237" t="s">
        <v>754</v>
      </c>
      <c r="F30" s="6"/>
    </row>
    <row r="31" spans="1:18">
      <c r="A31" s="231" t="s">
        <v>55</v>
      </c>
      <c r="B31" s="33">
        <f>IF(ISERROR(TER_onderwijs_ele_kWh/1000),0,TER_onderwijs_ele_kWh/1000)</f>
        <v>141.337323175074</v>
      </c>
      <c r="C31" s="39">
        <f>IF(ISERROR(B31*3.6/1000000/'E Balans VL '!Z11*100),0,B31*3.6/1000000/'E Balans VL '!Z11*100)</f>
        <v>3.5100677974490943E-2</v>
      </c>
      <c r="D31" s="237" t="s">
        <v>754</v>
      </c>
    </row>
    <row r="32" spans="1:18">
      <c r="A32" s="231" t="s">
        <v>260</v>
      </c>
      <c r="B32" s="33">
        <f>IF(ISERROR(TER_rest_ele_kWh/1000),0,TER_rest_ele_kWh/1000)</f>
        <v>3966.8180573893701</v>
      </c>
      <c r="C32" s="39">
        <f>IF(ISERROR(B32*3.6/1000000/'E Balans VL '!Z8*100),0,B32*3.6/1000000/'E Balans VL '!Z8*100)</f>
        <v>3.2641647196586736E-2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2755.5414009711203</v>
      </c>
      <c r="C5" s="17">
        <f>IF(ISERROR('Eigen informatie GS &amp; warmtenet'!B59),0,'Eigen informatie GS &amp; warmtenet'!B59)</f>
        <v>0</v>
      </c>
      <c r="D5" s="30">
        <f>SUM(D6:D15)</f>
        <v>3074.1342350103932</v>
      </c>
      <c r="E5" s="17">
        <f>SUM(E6:E15)</f>
        <v>398.88188823524246</v>
      </c>
      <c r="F5" s="17">
        <f>SUM(F6:F15)</f>
        <v>1161.7781378570792</v>
      </c>
      <c r="G5" s="18"/>
      <c r="H5" s="17"/>
      <c r="I5" s="17"/>
      <c r="J5" s="17">
        <f>SUM(J6:J15)</f>
        <v>2.0597884204811501</v>
      </c>
      <c r="K5" s="17"/>
      <c r="L5" s="17"/>
      <c r="M5" s="17"/>
      <c r="N5" s="17">
        <f>SUM(N6:N15)</f>
        <v>1822.5278852796455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78.358395786482802</v>
      </c>
      <c r="C8" s="33"/>
      <c r="D8" s="37">
        <f>IF( ISERROR(IND_metaal_Gas_kWH/1000),0,IND_metaal_Gas_kWH/1000)*0.902</f>
        <v>0</v>
      </c>
      <c r="E8" s="33">
        <f>C30*'E Balans VL '!I18/100/3.6*1000000</f>
        <v>0.72042976999834696</v>
      </c>
      <c r="F8" s="33">
        <f>C30*'E Balans VL '!L18/100/3.6*1000000+C30*'E Balans VL '!N18/100/3.6*1000000</f>
        <v>7.3474087097001322</v>
      </c>
      <c r="G8" s="34"/>
      <c r="H8" s="33"/>
      <c r="I8" s="33"/>
      <c r="J8" s="40">
        <f>C30*'E Balans VL '!D18/100/3.6*1000000+C30*'E Balans VL '!E18/100/3.6*1000000</f>
        <v>0</v>
      </c>
      <c r="K8" s="33"/>
      <c r="L8" s="33"/>
      <c r="M8" s="33"/>
      <c r="N8" s="33">
        <f>C30*'E Balans VL '!Y18/100/3.6*1000000</f>
        <v>1.1179120085962877</v>
      </c>
      <c r="O8" s="33"/>
      <c r="P8" s="33"/>
      <c r="R8" s="32"/>
    </row>
    <row r="9" spans="1:18">
      <c r="A9" s="6" t="s">
        <v>33</v>
      </c>
      <c r="B9" s="37">
        <f t="shared" si="0"/>
        <v>1251.65337917738</v>
      </c>
      <c r="C9" s="33"/>
      <c r="D9" s="37">
        <f>IF( ISERROR(IND_andere_gas_kWh/1000),0,IND_andere_gas_kWh/1000)*0.902</f>
        <v>1921.4195198846689</v>
      </c>
      <c r="E9" s="33">
        <f>C31*'E Balans VL '!I19/100/3.6*1000000</f>
        <v>365.88264955079131</v>
      </c>
      <c r="F9" s="33">
        <f>C31*'E Balans VL '!L19/100/3.6*1000000+C31*'E Balans VL '!N19/100/3.6*1000000</f>
        <v>1005.7982316244227</v>
      </c>
      <c r="G9" s="34"/>
      <c r="H9" s="33"/>
      <c r="I9" s="33"/>
      <c r="J9" s="40">
        <f>C31*'E Balans VL '!D19/100/3.6*1000000+C31*'E Balans VL '!E19/100/3.6*1000000</f>
        <v>0</v>
      </c>
      <c r="K9" s="33"/>
      <c r="L9" s="33"/>
      <c r="M9" s="33"/>
      <c r="N9" s="33">
        <f>C31*'E Balans VL '!Y19/100/3.6*1000000</f>
        <v>413.56568824782192</v>
      </c>
      <c r="O9" s="33"/>
      <c r="P9" s="33"/>
      <c r="R9" s="32"/>
    </row>
    <row r="10" spans="1:18">
      <c r="A10" s="6" t="s">
        <v>41</v>
      </c>
      <c r="B10" s="37">
        <f t="shared" si="0"/>
        <v>437.809540003807</v>
      </c>
      <c r="C10" s="33"/>
      <c r="D10" s="37">
        <f>IF( ISERROR(IND_voed_gas_kWh/1000),0,IND_voed_gas_kWh/1000)*0.902</f>
        <v>327.16827468608579</v>
      </c>
      <c r="E10" s="33">
        <f>C32*'E Balans VL '!I20/100/3.6*1000000</f>
        <v>0.92619287019537166</v>
      </c>
      <c r="F10" s="33">
        <f>C32*'E Balans VL '!L20/100/3.6*1000000+C32*'E Balans VL '!N20/100/3.6*1000000</f>
        <v>27.836377762772955</v>
      </c>
      <c r="G10" s="34"/>
      <c r="H10" s="33"/>
      <c r="I10" s="33"/>
      <c r="J10" s="40">
        <f>C32*'E Balans VL '!D20/100/3.6*1000000+C32*'E Balans VL '!E20/100/3.6*1000000</f>
        <v>0</v>
      </c>
      <c r="K10" s="33"/>
      <c r="L10" s="33"/>
      <c r="M10" s="33"/>
      <c r="N10" s="33">
        <f>C32*'E Balans VL '!Y20/100/3.6*1000000</f>
        <v>30.213178670370862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430.97579716420097</v>
      </c>
      <c r="C13" s="33"/>
      <c r="D13" s="37">
        <f>IF( ISERROR(IND_papier_gas_kWh/1000),0,IND_papier_gas_kWh/1000)*0.902</f>
        <v>140.48029624283328</v>
      </c>
      <c r="E13" s="33">
        <f>C35*'E Balans VL '!I23/100/3.6*1000000</f>
        <v>0.61145609277633539</v>
      </c>
      <c r="F13" s="33">
        <f>C35*'E Balans VL '!L23/100/3.6*1000000+C35*'E Balans VL '!N23/100/3.6*1000000</f>
        <v>10.521739782261001</v>
      </c>
      <c r="G13" s="34"/>
      <c r="H13" s="33"/>
      <c r="I13" s="33"/>
      <c r="J13" s="40">
        <f>C35*'E Balans VL '!D23/100/3.6*1000000+C35*'E Balans VL '!E23/100/3.6*1000000</f>
        <v>6.6654453278795461E-2</v>
      </c>
      <c r="K13" s="33"/>
      <c r="L13" s="33"/>
      <c r="M13" s="33"/>
      <c r="N13" s="33">
        <f>C35*'E Balans VL '!Y23/100/3.6*1000000</f>
        <v>1252.7446233778107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556.74428883924907</v>
      </c>
      <c r="C15" s="33"/>
      <c r="D15" s="37">
        <f>IF( ISERROR(IND_rest_gas_kWh/1000),0,IND_rest_gas_kWh/1000)*0.902</f>
        <v>685.06614419680511</v>
      </c>
      <c r="E15" s="33">
        <f>C37*'E Balans VL '!I15/100/3.6*1000000</f>
        <v>30.741159951481059</v>
      </c>
      <c r="F15" s="33">
        <f>C37*'E Balans VL '!L15/100/3.6*1000000+C37*'E Balans VL '!N15/100/3.6*1000000</f>
        <v>110.27437997792221</v>
      </c>
      <c r="G15" s="34"/>
      <c r="H15" s="33"/>
      <c r="I15" s="33"/>
      <c r="J15" s="40">
        <f>C37*'E Balans VL '!D15/100/3.6*1000000+C37*'E Balans VL '!E15/100/3.6*1000000</f>
        <v>1.9931339672023547</v>
      </c>
      <c r="K15" s="33"/>
      <c r="L15" s="33"/>
      <c r="M15" s="33"/>
      <c r="N15" s="33">
        <f>C37*'E Balans VL '!Y15/100/3.6*1000000</f>
        <v>124.88648297504575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2755.5414009711203</v>
      </c>
      <c r="C18" s="21">
        <f>C5+C16</f>
        <v>0</v>
      </c>
      <c r="D18" s="21">
        <f>MAX((D5+D16),0)</f>
        <v>3074.1342350103932</v>
      </c>
      <c r="E18" s="21">
        <f>MAX((E5+E16),0)</f>
        <v>398.88188823524246</v>
      </c>
      <c r="F18" s="21">
        <f>MAX((F5+F16),0)</f>
        <v>1161.7781378570792</v>
      </c>
      <c r="G18" s="21"/>
      <c r="H18" s="21"/>
      <c r="I18" s="21"/>
      <c r="J18" s="21">
        <f>MAX((J5+J16),0)</f>
        <v>2.0597884204811501</v>
      </c>
      <c r="K18" s="21"/>
      <c r="L18" s="21">
        <f>MAX((L5+L16),0)</f>
        <v>0</v>
      </c>
      <c r="M18" s="21"/>
      <c r="N18" s="21">
        <f>MAX((N5+N16),0)</f>
        <v>1822.5278852796455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0.21119112537954868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581.94588950102911</v>
      </c>
      <c r="C22" s="23">
        <f ca="1">C18*C20</f>
        <v>0</v>
      </c>
      <c r="D22" s="23">
        <f>D18*D20</f>
        <v>620.97511547209945</v>
      </c>
      <c r="E22" s="23">
        <f>E18*E20</f>
        <v>90.546188629400035</v>
      </c>
      <c r="F22" s="23">
        <f>F18*F20</f>
        <v>310.19476280784016</v>
      </c>
      <c r="G22" s="23"/>
      <c r="H22" s="23"/>
      <c r="I22" s="23"/>
      <c r="J22" s="23">
        <f>J18*J20</f>
        <v>0.72916510085032704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78.358395786482802</v>
      </c>
      <c r="C30" s="39">
        <f>IF(ISERROR(B30*3.6/1000000/'E Balans VL '!Z18*100),0,B30*3.6/1000000/'E Balans VL '!Z18*100)</f>
        <v>4.4407712132881836E-3</v>
      </c>
      <c r="D30" s="237" t="s">
        <v>754</v>
      </c>
    </row>
    <row r="31" spans="1:18">
      <c r="A31" s="6" t="s">
        <v>33</v>
      </c>
      <c r="B31" s="37">
        <f>IF( ISERROR(IND_ander_ele_kWh/1000),0,IND_ander_ele_kWh/1000)</f>
        <v>1251.65337917738</v>
      </c>
      <c r="C31" s="39">
        <f>IF(ISERROR(B31*3.6/1000000/'E Balans VL '!Z19*100),0,B31*3.6/1000000/'E Balans VL '!Z19*100)</f>
        <v>5.6769785485524742E-2</v>
      </c>
      <c r="D31" s="237" t="s">
        <v>754</v>
      </c>
    </row>
    <row r="32" spans="1:18">
      <c r="A32" s="171" t="s">
        <v>41</v>
      </c>
      <c r="B32" s="37">
        <f>IF( ISERROR(IND_voed_ele_kWh/1000),0,IND_voed_ele_kWh/1000)</f>
        <v>437.809540003807</v>
      </c>
      <c r="C32" s="39">
        <f>IF(ISERROR(B32*3.6/1000000/'E Balans VL '!Z20*100),0,B32*3.6/1000000/'E Balans VL '!Z20*100)</f>
        <v>1.3543436559814883E-2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430.97579716420097</v>
      </c>
      <c r="C35" s="39">
        <f>IF(ISERROR(B35*3.6/1000000/'E Balans VL '!Z22*100),0,B35*3.6/1000000/'E Balans VL '!Z22*100)</f>
        <v>7.7519099619828016E-2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556.74428883924907</v>
      </c>
      <c r="C37" s="39">
        <f>IF(ISERROR(B37*3.6/1000000/'E Balans VL '!Z15*100),0,B37*3.6/1000000/'E Balans VL '!Z15*100)</f>
        <v>4.4128822360653755E-3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559.25673521029682</v>
      </c>
      <c r="C5" s="17">
        <f>'Eigen informatie GS &amp; warmtenet'!B60</f>
        <v>0</v>
      </c>
      <c r="D5" s="30">
        <f>IF(ISERROR(SUM(LB_lb_gas_kWh,LB_rest_gas_kWh,onbekend_gas_kWh)/1000),0,SUM(LB_lb_gas_kWh,LB_rest_gas_kWh,onbekend_gas_kWh)/1000)*0.902</f>
        <v>6373.9912477279177</v>
      </c>
      <c r="E5" s="17">
        <f>B17*'E Balans VL '!I25/3.6*1000000/100</f>
        <v>16.438263615059174</v>
      </c>
      <c r="F5" s="17">
        <f>B17*('E Balans VL '!L25/3.6*1000000+'E Balans VL '!N25/3.6*1000000)/100</f>
        <v>2329.8333382383371</v>
      </c>
      <c r="G5" s="18"/>
      <c r="H5" s="17"/>
      <c r="I5" s="17"/>
      <c r="J5" s="17">
        <f>('E Balans VL '!D25+'E Balans VL '!E25)/3.6*1000000*landbouw!B17/100</f>
        <v>81.024290756104236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559.25673521029682</v>
      </c>
      <c r="C8" s="21">
        <f>C5+C6</f>
        <v>0</v>
      </c>
      <c r="D8" s="21">
        <f>MAX((D5+D6),0)</f>
        <v>6373.9912477279177</v>
      </c>
      <c r="E8" s="21">
        <f>MAX((E5+E6),0)</f>
        <v>16.438263615059174</v>
      </c>
      <c r="F8" s="21">
        <f>MAX((F5+F6),0)</f>
        <v>2329.8333382383371</v>
      </c>
      <c r="G8" s="21"/>
      <c r="H8" s="21"/>
      <c r="I8" s="21"/>
      <c r="J8" s="21">
        <f>MAX((J5+J6),0)</f>
        <v>81.024290756104236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0.21119112537954868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118.11005928515485</v>
      </c>
      <c r="C12" s="23">
        <f ca="1">C8*C10</f>
        <v>0</v>
      </c>
      <c r="D12" s="23">
        <f>D8*D10</f>
        <v>1287.5462320410395</v>
      </c>
      <c r="E12" s="23">
        <f>E8*E10</f>
        <v>3.7314858406184328</v>
      </c>
      <c r="F12" s="23">
        <f>F8*F10</f>
        <v>622.06550130963603</v>
      </c>
      <c r="G12" s="23"/>
      <c r="H12" s="23"/>
      <c r="I12" s="23"/>
      <c r="J12" s="23">
        <f>J8*J10</f>
        <v>28.682598927660898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7.9360285340837555E-2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45.743274565767265</v>
      </c>
      <c r="C26" s="247">
        <f>B26*'GWP N2O_CH4'!B5</f>
        <v>960.60876588111262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6.5237936820955023</v>
      </c>
      <c r="C27" s="247">
        <f>B27*'GWP N2O_CH4'!B5</f>
        <v>136.99966732400554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0.52542506584614179</v>
      </c>
      <c r="C28" s="247">
        <f>B28*'GWP N2O_CH4'!B4</f>
        <v>162.88177041230395</v>
      </c>
      <c r="D28" s="50"/>
    </row>
    <row r="29" spans="1:4">
      <c r="A29" s="41" t="s">
        <v>277</v>
      </c>
      <c r="B29" s="247">
        <f>B34*'ha_N2O bodem landbouw'!B4</f>
        <v>10.177451584670212</v>
      </c>
      <c r="C29" s="247">
        <f>B29*'GWP N2O_CH4'!B4</f>
        <v>3155.0099912477658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2.3224593785632838E-3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5.0712454525589389E-4</v>
      </c>
      <c r="C5" s="463" t="s">
        <v>211</v>
      </c>
      <c r="D5" s="448">
        <f>SUM(D6:D11)</f>
        <v>1.7279630152171642E-3</v>
      </c>
      <c r="E5" s="448">
        <f>SUM(E6:E11)</f>
        <v>2.6504407970141313E-3</v>
      </c>
      <c r="F5" s="461" t="s">
        <v>211</v>
      </c>
      <c r="G5" s="448">
        <f>SUM(G6:G11)</f>
        <v>0.81607608418606059</v>
      </c>
      <c r="H5" s="448">
        <f>SUM(H6:H11)</f>
        <v>0.19999286493437288</v>
      </c>
      <c r="I5" s="463" t="s">
        <v>211</v>
      </c>
      <c r="J5" s="463" t="s">
        <v>211</v>
      </c>
      <c r="K5" s="463" t="s">
        <v>211</v>
      </c>
      <c r="L5" s="463" t="s">
        <v>211</v>
      </c>
      <c r="M5" s="448">
        <f>SUM(M6:M11)</f>
        <v>5.3615225456341079E-2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1.2543183769539844E-4</v>
      </c>
      <c r="C6" s="449"/>
      <c r="D6" s="962">
        <f>vkm_2011_GW_PW*SUMIFS(TableVerdeelsleutelVkm[CNG],TableVerdeelsleutelVkm[Voertuigtype],"Lichte voertuigen")*SUMIFS(TableECFTransport[EnergieConsumptieFactor (PJ per km)],TableECFTransport[Index],CONCATENATE($A6,"_CNG_CNG"))</f>
        <v>3.7622352175976031E-4</v>
      </c>
      <c r="E6" s="962">
        <f>vkm_2011_GW_PW*SUMIFS(TableVerdeelsleutelVkm[LPG],TableVerdeelsleutelVkm[Voertuigtype],"Lichte voertuigen")*SUMIFS(TableECFTransport[EnergieConsumptieFactor (PJ per km)],TableECFTransport[Index],CONCATENATE($A6,"_LPG_LPG"))</f>
        <v>5.1397537256942926E-4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0.13289047034917467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4.2783612137981222E-2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9.0338744288043487E-3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2.9454550359052787E-2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8.9755782700358984E-6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1.7212261191306532E-3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7.0220406259601862E-5</v>
      </c>
      <c r="C8" s="449"/>
      <c r="D8" s="451">
        <f>vkm_2011_NGW_PW*SUMIFS(TableVerdeelsleutelVkm[CNG],TableVerdeelsleutelVkm[Voertuigtype],"Lichte voertuigen")*SUMIFS(TableECFTransport[EnergieConsumptieFactor (PJ per km)],TableECFTransport[Index],CONCATENATE($A8,"_CNG_CNG"))</f>
        <v>3.7448634797759302E-4</v>
      </c>
      <c r="E8" s="451">
        <f>vkm_2011_NGW_PW*SUMIFS(TableVerdeelsleutelVkm[LPG],TableVerdeelsleutelVkm[Voertuigtype],"Lichte voertuigen")*SUMIFS(TableECFTransport[EnergieConsumptieFactor (PJ per km)],TableECFTransport[Index],CONCATENATE($A8,"_LPG_LPG"))</f>
        <v>4.7380163847420399E-4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0.11416019225970613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4.1384325839222094E-2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7.8979914199982515E-3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1.1762842400074199E-2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3.3744482421225527E-6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6.8737522059269E-4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3.1147230130089355E-4</v>
      </c>
      <c r="C10" s="449"/>
      <c r="D10" s="451">
        <f>vkm_2011_SW_PW*SUMIFS(TableVerdeelsleutelVkm[CNG],TableVerdeelsleutelVkm[Voertuigtype],"Lichte voertuigen")*SUMIFS(TableECFTransport[EnergieConsumptieFactor (PJ per km)],TableECFTransport[Index],CONCATENATE($A10,"_CNG_CNG"))</f>
        <v>9.772531454798109E-4</v>
      </c>
      <c r="E10" s="451">
        <f>vkm_2011_SW_PW*SUMIFS(TableVerdeelsleutelVkm[LPG],TableVerdeelsleutelVkm[Voertuigtype],"Lichte voertuigen")*SUMIFS(TableECFTransport[EnergieConsumptieFactor (PJ per km)],TableECFTransport[Index],CONCATENATE($A10,"_LPG_LPG"))</f>
        <v>1.6626637859704981E-3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0.38324776975952823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0.11576500634633963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2.5827032323702613E-2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0.14456025905852463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4.7570584317797666E-5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8.4477259441125239E-3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140.86792923774831</v>
      </c>
      <c r="C14" s="21"/>
      <c r="D14" s="21">
        <f t="shared" ref="D14:M14" si="0">((D5)*10^9/3600)+D12</f>
        <v>479.9897264492123</v>
      </c>
      <c r="E14" s="21">
        <f t="shared" si="0"/>
        <v>736.23355472614753</v>
      </c>
      <c r="F14" s="21"/>
      <c r="G14" s="21">
        <f t="shared" si="0"/>
        <v>226687.80116279461</v>
      </c>
      <c r="H14" s="21">
        <f t="shared" si="0"/>
        <v>55553.573592881352</v>
      </c>
      <c r="I14" s="21"/>
      <c r="J14" s="21"/>
      <c r="K14" s="21"/>
      <c r="L14" s="21"/>
      <c r="M14" s="21">
        <f t="shared" si="0"/>
        <v>14893.118182316966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0.21119112537954868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29.750056505606697</v>
      </c>
      <c r="C18" s="23"/>
      <c r="D18" s="23">
        <f t="shared" ref="D18:M18" si="1">D14*D16</f>
        <v>96.957924742740886</v>
      </c>
      <c r="E18" s="23">
        <f t="shared" si="1"/>
        <v>167.1250169228355</v>
      </c>
      <c r="F18" s="23"/>
      <c r="G18" s="23">
        <f t="shared" si="1"/>
        <v>60525.642910466166</v>
      </c>
      <c r="H18" s="23">
        <f t="shared" si="1"/>
        <v>13832.839824627457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1.4335157380613328E-2</v>
      </c>
      <c r="H50" s="321">
        <f t="shared" si="2"/>
        <v>0</v>
      </c>
      <c r="I50" s="321">
        <f t="shared" si="2"/>
        <v>0</v>
      </c>
      <c r="J50" s="321">
        <f t="shared" si="2"/>
        <v>0</v>
      </c>
      <c r="K50" s="321">
        <f t="shared" si="2"/>
        <v>0</v>
      </c>
      <c r="L50" s="321">
        <f t="shared" si="2"/>
        <v>0</v>
      </c>
      <c r="M50" s="321">
        <f t="shared" si="2"/>
        <v>8.1417365557159556E-4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1.4335157380613328E-2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8.1417365557159556E-4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3981.9881612814802</v>
      </c>
      <c r="H54" s="21">
        <f t="shared" si="3"/>
        <v>0</v>
      </c>
      <c r="I54" s="21">
        <f t="shared" si="3"/>
        <v>0</v>
      </c>
      <c r="J54" s="21">
        <f t="shared" si="3"/>
        <v>0</v>
      </c>
      <c r="K54" s="21">
        <f t="shared" si="3"/>
        <v>0</v>
      </c>
      <c r="L54" s="21">
        <f t="shared" si="3"/>
        <v>0</v>
      </c>
      <c r="M54" s="21">
        <f t="shared" si="3"/>
        <v>226.15934876988766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0.21119112537954868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1063.1908390621552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26.385930061433445</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3388.5572647797217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3414.9431948411552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29896.746556118793</v>
      </c>
      <c r="D10" s="718">
        <f ca="1">tertiair!C16</f>
        <v>0</v>
      </c>
      <c r="E10" s="718">
        <f ca="1">tertiair!D16</f>
        <v>41488.763546399103</v>
      </c>
      <c r="F10" s="718">
        <f>tertiair!E16</f>
        <v>391.36832714259816</v>
      </c>
      <c r="G10" s="718">
        <f ca="1">tertiair!F16</f>
        <v>5220.9260525771906</v>
      </c>
      <c r="H10" s="718">
        <f>tertiair!G16</f>
        <v>0</v>
      </c>
      <c r="I10" s="718">
        <f>tertiair!H16</f>
        <v>0</v>
      </c>
      <c r="J10" s="718">
        <f>tertiair!I16</f>
        <v>0</v>
      </c>
      <c r="K10" s="718">
        <f>tertiair!J16</f>
        <v>0.13048139790334598</v>
      </c>
      <c r="L10" s="718">
        <f>tertiair!K16</f>
        <v>0</v>
      </c>
      <c r="M10" s="718">
        <f ca="1">tertiair!L16</f>
        <v>0</v>
      </c>
      <c r="N10" s="718">
        <f>tertiair!M16</f>
        <v>0</v>
      </c>
      <c r="O10" s="718">
        <f ca="1">tertiair!N16</f>
        <v>5148.2772914575744</v>
      </c>
      <c r="P10" s="718">
        <f>tertiair!O16</f>
        <v>1.5633333333333335</v>
      </c>
      <c r="Q10" s="719">
        <f>tertiair!P16</f>
        <v>19.066666666666666</v>
      </c>
      <c r="R10" s="721">
        <f ca="1">SUM(C10:Q10)</f>
        <v>82166.842255093186</v>
      </c>
      <c r="S10" s="67"/>
    </row>
    <row r="11" spans="1:19" s="474" customFormat="1">
      <c r="A11" s="870" t="s">
        <v>225</v>
      </c>
      <c r="B11" s="875"/>
      <c r="C11" s="718">
        <f>huishoudens!B8</f>
        <v>43588.365527094284</v>
      </c>
      <c r="D11" s="718">
        <f>huishoudens!C8</f>
        <v>0</v>
      </c>
      <c r="E11" s="718">
        <f>huishoudens!D8</f>
        <v>134185.19163959235</v>
      </c>
      <c r="F11" s="718">
        <f>huishoudens!E8</f>
        <v>4959.3592354065577</v>
      </c>
      <c r="G11" s="718">
        <f>huishoudens!F8</f>
        <v>46513.484608771803</v>
      </c>
      <c r="H11" s="718">
        <f>huishoudens!G8</f>
        <v>0</v>
      </c>
      <c r="I11" s="718">
        <f>huishoudens!H8</f>
        <v>0</v>
      </c>
      <c r="J11" s="718">
        <f>huishoudens!I8</f>
        <v>0</v>
      </c>
      <c r="K11" s="718">
        <f>huishoudens!J8</f>
        <v>0</v>
      </c>
      <c r="L11" s="718">
        <f>huishoudens!K8</f>
        <v>0</v>
      </c>
      <c r="M11" s="718">
        <f>huishoudens!L8</f>
        <v>0</v>
      </c>
      <c r="N11" s="718">
        <f>huishoudens!M8</f>
        <v>0</v>
      </c>
      <c r="O11" s="718">
        <f>huishoudens!N8</f>
        <v>10049.378244415193</v>
      </c>
      <c r="P11" s="718">
        <f>huishoudens!O8</f>
        <v>406.4666666666667</v>
      </c>
      <c r="Q11" s="719">
        <f>huishoudens!P8</f>
        <v>724.5333333333333</v>
      </c>
      <c r="R11" s="721">
        <f>SUM(C11:Q11)</f>
        <v>240426.77925528018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2755.5414009711203</v>
      </c>
      <c r="D13" s="718">
        <f>industrie!C18</f>
        <v>0</v>
      </c>
      <c r="E13" s="718">
        <f>industrie!D18</f>
        <v>3074.1342350103932</v>
      </c>
      <c r="F13" s="718">
        <f>industrie!E18</f>
        <v>398.88188823524246</v>
      </c>
      <c r="G13" s="718">
        <f>industrie!F18</f>
        <v>1161.7781378570792</v>
      </c>
      <c r="H13" s="718">
        <f>industrie!G18</f>
        <v>0</v>
      </c>
      <c r="I13" s="718">
        <f>industrie!H18</f>
        <v>0</v>
      </c>
      <c r="J13" s="718">
        <f>industrie!I18</f>
        <v>0</v>
      </c>
      <c r="K13" s="718">
        <f>industrie!J18</f>
        <v>2.0597884204811501</v>
      </c>
      <c r="L13" s="718">
        <f>industrie!K18</f>
        <v>0</v>
      </c>
      <c r="M13" s="718">
        <f>industrie!L18</f>
        <v>0</v>
      </c>
      <c r="N13" s="718">
        <f>industrie!M18</f>
        <v>0</v>
      </c>
      <c r="O13" s="718">
        <f>industrie!N18</f>
        <v>1822.5278852796455</v>
      </c>
      <c r="P13" s="718">
        <f>industrie!O18</f>
        <v>0</v>
      </c>
      <c r="Q13" s="719">
        <f>industrie!P18</f>
        <v>0</v>
      </c>
      <c r="R13" s="721">
        <f>SUM(C13:Q13)</f>
        <v>9214.9233357739613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76240.653484184208</v>
      </c>
      <c r="D15" s="723">
        <f t="shared" ref="D15:Q15" ca="1" si="0">SUM(D9:D14)</f>
        <v>0</v>
      </c>
      <c r="E15" s="723">
        <f t="shared" ca="1" si="0"/>
        <v>178748.08942100185</v>
      </c>
      <c r="F15" s="723">
        <f t="shared" si="0"/>
        <v>5749.6094507843982</v>
      </c>
      <c r="G15" s="723">
        <f t="shared" ca="1" si="0"/>
        <v>52896.188799206073</v>
      </c>
      <c r="H15" s="723">
        <f t="shared" si="0"/>
        <v>0</v>
      </c>
      <c r="I15" s="723">
        <f t="shared" si="0"/>
        <v>0</v>
      </c>
      <c r="J15" s="723">
        <f t="shared" si="0"/>
        <v>0</v>
      </c>
      <c r="K15" s="723">
        <f t="shared" si="0"/>
        <v>2.190269818384496</v>
      </c>
      <c r="L15" s="723">
        <f t="shared" si="0"/>
        <v>0</v>
      </c>
      <c r="M15" s="723">
        <f t="shared" ca="1" si="0"/>
        <v>0</v>
      </c>
      <c r="N15" s="723">
        <f t="shared" si="0"/>
        <v>0</v>
      </c>
      <c r="O15" s="723">
        <f t="shared" ca="1" si="0"/>
        <v>17020.183421152411</v>
      </c>
      <c r="P15" s="723">
        <f t="shared" si="0"/>
        <v>408.03000000000003</v>
      </c>
      <c r="Q15" s="724">
        <f t="shared" si="0"/>
        <v>743.6</v>
      </c>
      <c r="R15" s="725">
        <f ca="1">SUM(R9:R14)</f>
        <v>331808.54484614736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3981.9881612814802</v>
      </c>
      <c r="I18" s="718">
        <f>transport!H54</f>
        <v>0</v>
      </c>
      <c r="J18" s="718">
        <f>transport!I54</f>
        <v>0</v>
      </c>
      <c r="K18" s="718">
        <f>transport!J54</f>
        <v>0</v>
      </c>
      <c r="L18" s="718">
        <f>transport!K54</f>
        <v>0</v>
      </c>
      <c r="M18" s="718">
        <f>transport!L54</f>
        <v>0</v>
      </c>
      <c r="N18" s="718">
        <f>transport!M54</f>
        <v>226.15934876988766</v>
      </c>
      <c r="O18" s="718">
        <f>transport!N54</f>
        <v>0</v>
      </c>
      <c r="P18" s="718">
        <f>transport!O54</f>
        <v>0</v>
      </c>
      <c r="Q18" s="719">
        <f>transport!P54</f>
        <v>0</v>
      </c>
      <c r="R18" s="721">
        <f>SUM(C18:Q18)</f>
        <v>4208.147510051368</v>
      </c>
      <c r="S18" s="67"/>
    </row>
    <row r="19" spans="1:19" s="474" customFormat="1" ht="15" thickBot="1">
      <c r="A19" s="870" t="s">
        <v>307</v>
      </c>
      <c r="B19" s="875"/>
      <c r="C19" s="727">
        <f>transport!B14</f>
        <v>140.86792923774831</v>
      </c>
      <c r="D19" s="727">
        <f>transport!C14</f>
        <v>0</v>
      </c>
      <c r="E19" s="727">
        <f>transport!D14</f>
        <v>479.9897264492123</v>
      </c>
      <c r="F19" s="727">
        <f>transport!E14</f>
        <v>736.23355472614753</v>
      </c>
      <c r="G19" s="727">
        <f>transport!F14</f>
        <v>0</v>
      </c>
      <c r="H19" s="727">
        <f>transport!G14</f>
        <v>226687.80116279461</v>
      </c>
      <c r="I19" s="727">
        <f>transport!H14</f>
        <v>55553.573592881352</v>
      </c>
      <c r="J19" s="727">
        <f>transport!I14</f>
        <v>0</v>
      </c>
      <c r="K19" s="727">
        <f>transport!J14</f>
        <v>0</v>
      </c>
      <c r="L19" s="727">
        <f>transport!K14</f>
        <v>0</v>
      </c>
      <c r="M19" s="727">
        <f>transport!L14</f>
        <v>0</v>
      </c>
      <c r="N19" s="727">
        <f>transport!M14</f>
        <v>14893.118182316966</v>
      </c>
      <c r="O19" s="727">
        <f>transport!N14</f>
        <v>0</v>
      </c>
      <c r="P19" s="727">
        <f>transport!O14</f>
        <v>0</v>
      </c>
      <c r="Q19" s="728">
        <f>transport!P14</f>
        <v>0</v>
      </c>
      <c r="R19" s="729">
        <f>SUM(C19:Q19)</f>
        <v>298491.58414840599</v>
      </c>
      <c r="S19" s="67"/>
    </row>
    <row r="20" spans="1:19" s="474" customFormat="1" ht="15.75" thickBot="1">
      <c r="A20" s="730" t="s">
        <v>230</v>
      </c>
      <c r="B20" s="878"/>
      <c r="C20" s="873">
        <f>SUM(C17:C19)</f>
        <v>140.86792923774831</v>
      </c>
      <c r="D20" s="731">
        <f t="shared" ref="D20:R20" si="1">SUM(D17:D19)</f>
        <v>0</v>
      </c>
      <c r="E20" s="731">
        <f t="shared" si="1"/>
        <v>479.9897264492123</v>
      </c>
      <c r="F20" s="731">
        <f t="shared" si="1"/>
        <v>736.23355472614753</v>
      </c>
      <c r="G20" s="731">
        <f t="shared" si="1"/>
        <v>0</v>
      </c>
      <c r="H20" s="731">
        <f t="shared" si="1"/>
        <v>230669.78932407609</v>
      </c>
      <c r="I20" s="731">
        <f t="shared" si="1"/>
        <v>55553.573592881352</v>
      </c>
      <c r="J20" s="731">
        <f t="shared" si="1"/>
        <v>0</v>
      </c>
      <c r="K20" s="731">
        <f t="shared" si="1"/>
        <v>0</v>
      </c>
      <c r="L20" s="731">
        <f t="shared" si="1"/>
        <v>0</v>
      </c>
      <c r="M20" s="731">
        <f t="shared" si="1"/>
        <v>0</v>
      </c>
      <c r="N20" s="731">
        <f t="shared" si="1"/>
        <v>15119.277531086855</v>
      </c>
      <c r="O20" s="731">
        <f t="shared" si="1"/>
        <v>0</v>
      </c>
      <c r="P20" s="731">
        <f t="shared" si="1"/>
        <v>0</v>
      </c>
      <c r="Q20" s="732">
        <f t="shared" si="1"/>
        <v>0</v>
      </c>
      <c r="R20" s="733">
        <f t="shared" si="1"/>
        <v>302699.73165845737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559.25673521029682</v>
      </c>
      <c r="D22" s="727">
        <f>+landbouw!C8</f>
        <v>0</v>
      </c>
      <c r="E22" s="727">
        <f>+landbouw!D8</f>
        <v>6373.9912477279177</v>
      </c>
      <c r="F22" s="727">
        <f>+landbouw!E8</f>
        <v>16.438263615059174</v>
      </c>
      <c r="G22" s="727">
        <f>+landbouw!F8</f>
        <v>2329.8333382383371</v>
      </c>
      <c r="H22" s="727">
        <f>+landbouw!G8</f>
        <v>0</v>
      </c>
      <c r="I22" s="727">
        <f>+landbouw!H8</f>
        <v>0</v>
      </c>
      <c r="J22" s="727">
        <f>+landbouw!I8</f>
        <v>0</v>
      </c>
      <c r="K22" s="727">
        <f>+landbouw!J8</f>
        <v>81.024290756104236</v>
      </c>
      <c r="L22" s="727">
        <f>+landbouw!K8</f>
        <v>0</v>
      </c>
      <c r="M22" s="727">
        <f>+landbouw!L8</f>
        <v>0</v>
      </c>
      <c r="N22" s="727">
        <f>+landbouw!M8</f>
        <v>0</v>
      </c>
      <c r="O22" s="727">
        <f>+landbouw!N8</f>
        <v>0</v>
      </c>
      <c r="P22" s="727">
        <f>+landbouw!O8</f>
        <v>0</v>
      </c>
      <c r="Q22" s="728">
        <f>+landbouw!P8</f>
        <v>0</v>
      </c>
      <c r="R22" s="729">
        <f>SUM(C22:Q22)</f>
        <v>9360.5438755477153</v>
      </c>
      <c r="S22" s="67"/>
    </row>
    <row r="23" spans="1:19" s="474" customFormat="1" ht="17.25" thickTop="1" thickBot="1">
      <c r="A23" s="734" t="s">
        <v>116</v>
      </c>
      <c r="B23" s="864"/>
      <c r="C23" s="735">
        <f ca="1">C20+C15+C22</f>
        <v>76940.778148632249</v>
      </c>
      <c r="D23" s="735">
        <f t="shared" ref="D23:Q23" ca="1" si="2">D20+D15+D22</f>
        <v>0</v>
      </c>
      <c r="E23" s="735">
        <f t="shared" ca="1" si="2"/>
        <v>185602.07039517898</v>
      </c>
      <c r="F23" s="735">
        <f t="shared" si="2"/>
        <v>6502.2812691256049</v>
      </c>
      <c r="G23" s="735">
        <f t="shared" ca="1" si="2"/>
        <v>55226.022137444408</v>
      </c>
      <c r="H23" s="735">
        <f t="shared" si="2"/>
        <v>230669.78932407609</v>
      </c>
      <c r="I23" s="735">
        <f t="shared" si="2"/>
        <v>55553.573592881352</v>
      </c>
      <c r="J23" s="735">
        <f t="shared" si="2"/>
        <v>0</v>
      </c>
      <c r="K23" s="735">
        <f t="shared" si="2"/>
        <v>83.214560574488729</v>
      </c>
      <c r="L23" s="735">
        <f t="shared" si="2"/>
        <v>0</v>
      </c>
      <c r="M23" s="735">
        <f t="shared" ca="1" si="2"/>
        <v>0</v>
      </c>
      <c r="N23" s="735">
        <f t="shared" si="2"/>
        <v>15119.277531086855</v>
      </c>
      <c r="O23" s="735">
        <f t="shared" ca="1" si="2"/>
        <v>17020.183421152411</v>
      </c>
      <c r="P23" s="735">
        <f t="shared" si="2"/>
        <v>408.03000000000003</v>
      </c>
      <c r="Q23" s="736">
        <f t="shared" si="2"/>
        <v>743.6</v>
      </c>
      <c r="R23" s="737">
        <f ca="1">R20+R15+R22</f>
        <v>643868.82038015244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6313.9275503738736</v>
      </c>
      <c r="D36" s="718">
        <f ca="1">tertiair!C20</f>
        <v>0</v>
      </c>
      <c r="E36" s="718">
        <f ca="1">tertiair!D20</f>
        <v>8380.7302363726194</v>
      </c>
      <c r="F36" s="718">
        <f>tertiair!E20</f>
        <v>88.84061026136979</v>
      </c>
      <c r="G36" s="718">
        <f ca="1">tertiair!F20</f>
        <v>1393.98725603811</v>
      </c>
      <c r="H36" s="718">
        <f>tertiair!G20</f>
        <v>0</v>
      </c>
      <c r="I36" s="718">
        <f>tertiair!H20</f>
        <v>0</v>
      </c>
      <c r="J36" s="718">
        <f>tertiair!I20</f>
        <v>0</v>
      </c>
      <c r="K36" s="718">
        <f>tertiair!J20</f>
        <v>4.6190414857784474E-2</v>
      </c>
      <c r="L36" s="718">
        <f>tertiair!K20</f>
        <v>0</v>
      </c>
      <c r="M36" s="718">
        <f ca="1">tertiair!L20</f>
        <v>0</v>
      </c>
      <c r="N36" s="718">
        <f>tertiair!M20</f>
        <v>0</v>
      </c>
      <c r="O36" s="718">
        <f ca="1">tertiair!N20</f>
        <v>0</v>
      </c>
      <c r="P36" s="718">
        <f>tertiair!O20</f>
        <v>0</v>
      </c>
      <c r="Q36" s="828">
        <f>tertiair!P20</f>
        <v>0</v>
      </c>
      <c r="R36" s="917">
        <f ca="1">SUM(C36:Q36)</f>
        <v>16177.531843460831</v>
      </c>
    </row>
    <row r="37" spans="1:18">
      <c r="A37" s="885" t="s">
        <v>225</v>
      </c>
      <c r="B37" s="892"/>
      <c r="C37" s="718">
        <f ca="1">huishoudens!B12</f>
        <v>9205.4759691221661</v>
      </c>
      <c r="D37" s="718">
        <f ca="1">huishoudens!C12</f>
        <v>0</v>
      </c>
      <c r="E37" s="718">
        <f>huishoudens!D12</f>
        <v>27105.408711197655</v>
      </c>
      <c r="F37" s="718">
        <f>huishoudens!E12</f>
        <v>1125.7745464372886</v>
      </c>
      <c r="G37" s="718">
        <f>huishoudens!F12</f>
        <v>12419.100390542073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49855.759617299183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581.94588950102911</v>
      </c>
      <c r="D39" s="718">
        <f ca="1">industrie!C22</f>
        <v>0</v>
      </c>
      <c r="E39" s="718">
        <f>industrie!D22</f>
        <v>620.97511547209945</v>
      </c>
      <c r="F39" s="718">
        <f>industrie!E22</f>
        <v>90.546188629400035</v>
      </c>
      <c r="G39" s="718">
        <f>industrie!F22</f>
        <v>310.19476280784016</v>
      </c>
      <c r="H39" s="718">
        <f>industrie!G22</f>
        <v>0</v>
      </c>
      <c r="I39" s="718">
        <f>industrie!H22</f>
        <v>0</v>
      </c>
      <c r="J39" s="718">
        <f>industrie!I22</f>
        <v>0</v>
      </c>
      <c r="K39" s="718">
        <f>industrie!J22</f>
        <v>0.72916510085032704</v>
      </c>
      <c r="L39" s="718">
        <f>industrie!K22</f>
        <v>0</v>
      </c>
      <c r="M39" s="718">
        <f>industrie!L22</f>
        <v>0</v>
      </c>
      <c r="N39" s="718">
        <f>industrie!M22</f>
        <v>0</v>
      </c>
      <c r="O39" s="718">
        <f>industrie!N22</f>
        <v>0</v>
      </c>
      <c r="P39" s="718">
        <f>industrie!O22</f>
        <v>0</v>
      </c>
      <c r="Q39" s="828">
        <f>industrie!P22</f>
        <v>0</v>
      </c>
      <c r="R39" s="918">
        <f ca="1">SUM(C39:Q39)</f>
        <v>1604.3911215112194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16101.349408997068</v>
      </c>
      <c r="D41" s="763">
        <f t="shared" ref="D41:R41" ca="1" si="4">SUM(D35:D40)</f>
        <v>0</v>
      </c>
      <c r="E41" s="763">
        <f t="shared" ca="1" si="4"/>
        <v>36107.114063042376</v>
      </c>
      <c r="F41" s="763">
        <f t="shared" si="4"/>
        <v>1305.1613453280584</v>
      </c>
      <c r="G41" s="763">
        <f t="shared" ca="1" si="4"/>
        <v>14123.282409388023</v>
      </c>
      <c r="H41" s="763">
        <f t="shared" si="4"/>
        <v>0</v>
      </c>
      <c r="I41" s="763">
        <f t="shared" si="4"/>
        <v>0</v>
      </c>
      <c r="J41" s="763">
        <f t="shared" si="4"/>
        <v>0</v>
      </c>
      <c r="K41" s="763">
        <f t="shared" si="4"/>
        <v>0.77535551570811156</v>
      </c>
      <c r="L41" s="763">
        <f t="shared" si="4"/>
        <v>0</v>
      </c>
      <c r="M41" s="763">
        <f t="shared" ca="1" si="4"/>
        <v>0</v>
      </c>
      <c r="N41" s="763">
        <f t="shared" si="4"/>
        <v>0</v>
      </c>
      <c r="O41" s="763">
        <f t="shared" ca="1" si="4"/>
        <v>0</v>
      </c>
      <c r="P41" s="763">
        <f t="shared" si="4"/>
        <v>0</v>
      </c>
      <c r="Q41" s="764">
        <f t="shared" si="4"/>
        <v>0</v>
      </c>
      <c r="R41" s="765">
        <f t="shared" ca="1" si="4"/>
        <v>67637.682582271227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1063.1908390621552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1063.1908390621552</v>
      </c>
    </row>
    <row r="45" spans="1:18" ht="15" thickBot="1">
      <c r="A45" s="888" t="s">
        <v>307</v>
      </c>
      <c r="B45" s="898"/>
      <c r="C45" s="727">
        <f ca="1">transport!B18</f>
        <v>29.750056505606697</v>
      </c>
      <c r="D45" s="727">
        <f>transport!C18</f>
        <v>0</v>
      </c>
      <c r="E45" s="727">
        <f>transport!D18</f>
        <v>96.957924742740886</v>
      </c>
      <c r="F45" s="727">
        <f>transport!E18</f>
        <v>167.1250169228355</v>
      </c>
      <c r="G45" s="727">
        <f>transport!F18</f>
        <v>0</v>
      </c>
      <c r="H45" s="727">
        <f>transport!G18</f>
        <v>60525.642910466166</v>
      </c>
      <c r="I45" s="727">
        <f>transport!H18</f>
        <v>13832.839824627457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74652.315733264797</v>
      </c>
    </row>
    <row r="46" spans="1:18" ht="15.75" thickBot="1">
      <c r="A46" s="886" t="s">
        <v>230</v>
      </c>
      <c r="B46" s="899"/>
      <c r="C46" s="763">
        <f t="shared" ref="C46:R46" ca="1" si="5">SUM(C43:C45)</f>
        <v>29.750056505606697</v>
      </c>
      <c r="D46" s="763">
        <f t="shared" ca="1" si="5"/>
        <v>0</v>
      </c>
      <c r="E46" s="763">
        <f t="shared" si="5"/>
        <v>96.957924742740886</v>
      </c>
      <c r="F46" s="763">
        <f t="shared" si="5"/>
        <v>167.1250169228355</v>
      </c>
      <c r="G46" s="763">
        <f t="shared" si="5"/>
        <v>0</v>
      </c>
      <c r="H46" s="763">
        <f t="shared" si="5"/>
        <v>61588.833749528319</v>
      </c>
      <c r="I46" s="763">
        <f t="shared" si="5"/>
        <v>13832.839824627457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75715.506572326951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118.11005928515485</v>
      </c>
      <c r="D48" s="718">
        <f ca="1">+landbouw!C12</f>
        <v>0</v>
      </c>
      <c r="E48" s="718">
        <f>+landbouw!D12</f>
        <v>1287.5462320410395</v>
      </c>
      <c r="F48" s="718">
        <f>+landbouw!E12</f>
        <v>3.7314858406184328</v>
      </c>
      <c r="G48" s="718">
        <f>+landbouw!F12</f>
        <v>622.06550130963603</v>
      </c>
      <c r="H48" s="718">
        <f>+landbouw!G12</f>
        <v>0</v>
      </c>
      <c r="I48" s="718">
        <f>+landbouw!H12</f>
        <v>0</v>
      </c>
      <c r="J48" s="718">
        <f>+landbouw!I12</f>
        <v>0</v>
      </c>
      <c r="K48" s="718">
        <f>+landbouw!J12</f>
        <v>28.682598927660898</v>
      </c>
      <c r="L48" s="718">
        <f>+landbouw!K12</f>
        <v>0</v>
      </c>
      <c r="M48" s="718">
        <f>+landbouw!L12</f>
        <v>0</v>
      </c>
      <c r="N48" s="718">
        <f>+landbouw!M12</f>
        <v>0</v>
      </c>
      <c r="O48" s="718">
        <f>+landbouw!N12</f>
        <v>0</v>
      </c>
      <c r="P48" s="718">
        <f>+landbouw!O12</f>
        <v>0</v>
      </c>
      <c r="Q48" s="719">
        <f>+landbouw!P12</f>
        <v>0</v>
      </c>
      <c r="R48" s="761">
        <f ca="1">SUM(C48:Q48)</f>
        <v>2060.1358774041096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16249.20952478783</v>
      </c>
      <c r="D53" s="773">
        <f t="shared" ref="D53:Q53" ca="1" si="6">D41+D46+D48</f>
        <v>0</v>
      </c>
      <c r="E53" s="773">
        <f t="shared" ca="1" si="6"/>
        <v>37491.618219826152</v>
      </c>
      <c r="F53" s="773">
        <f t="shared" si="6"/>
        <v>1476.0178480915124</v>
      </c>
      <c r="G53" s="773">
        <f t="shared" ca="1" si="6"/>
        <v>14745.347910697659</v>
      </c>
      <c r="H53" s="773">
        <f t="shared" si="6"/>
        <v>61588.833749528319</v>
      </c>
      <c r="I53" s="773">
        <f t="shared" si="6"/>
        <v>13832.839824627457</v>
      </c>
      <c r="J53" s="773">
        <f t="shared" si="6"/>
        <v>0</v>
      </c>
      <c r="K53" s="773">
        <f t="shared" si="6"/>
        <v>29.457954443369008</v>
      </c>
      <c r="L53" s="773">
        <f t="shared" si="6"/>
        <v>0</v>
      </c>
      <c r="M53" s="773">
        <f t="shared" ca="1" si="6"/>
        <v>0</v>
      </c>
      <c r="N53" s="773">
        <f t="shared" si="6"/>
        <v>0</v>
      </c>
      <c r="O53" s="773">
        <f t="shared" ca="1" si="6"/>
        <v>0</v>
      </c>
      <c r="P53" s="773">
        <f>P41+P46+P48</f>
        <v>0</v>
      </c>
      <c r="Q53" s="774">
        <f t="shared" si="6"/>
        <v>0</v>
      </c>
      <c r="R53" s="775">
        <f ca="1">R41+R46+R48</f>
        <v>145413.32503200226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0.21119112537954865</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26.385930061433445</v>
      </c>
      <c r="C65" s="795">
        <f>'lokale energieproductie'!B5</f>
        <v>26.385930061433445</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3388.5572647797217</v>
      </c>
      <c r="C66" s="795">
        <f>'lokale energieproductie'!B6</f>
        <v>3388.5572647797217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3414.9431948411552</v>
      </c>
      <c r="C69" s="803">
        <f>SUM(C64:C68)</f>
        <v>3414.9431948411552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43588.365527094284</v>
      </c>
      <c r="C4" s="478">
        <f>huishoudens!C8</f>
        <v>0</v>
      </c>
      <c r="D4" s="478">
        <f>huishoudens!D8</f>
        <v>134185.19163959235</v>
      </c>
      <c r="E4" s="478">
        <f>huishoudens!E8</f>
        <v>4959.3592354065577</v>
      </c>
      <c r="F4" s="478">
        <f>huishoudens!F8</f>
        <v>46513.484608771803</v>
      </c>
      <c r="G4" s="478">
        <f>huishoudens!G8</f>
        <v>0</v>
      </c>
      <c r="H4" s="478">
        <f>huishoudens!H8</f>
        <v>0</v>
      </c>
      <c r="I4" s="478">
        <f>huishoudens!I8</f>
        <v>0</v>
      </c>
      <c r="J4" s="478">
        <f>huishoudens!J8</f>
        <v>0</v>
      </c>
      <c r="K4" s="478">
        <f>huishoudens!K8</f>
        <v>0</v>
      </c>
      <c r="L4" s="478">
        <f>huishoudens!L8</f>
        <v>0</v>
      </c>
      <c r="M4" s="478">
        <f>huishoudens!M8</f>
        <v>0</v>
      </c>
      <c r="N4" s="478">
        <f>huishoudens!N8</f>
        <v>10049.378244415193</v>
      </c>
      <c r="O4" s="478">
        <f>huishoudens!O8</f>
        <v>406.4666666666667</v>
      </c>
      <c r="P4" s="479">
        <f>huishoudens!P8</f>
        <v>724.5333333333333</v>
      </c>
      <c r="Q4" s="480">
        <f>SUM(B4:P4)</f>
        <v>240426.77925528018</v>
      </c>
    </row>
    <row r="5" spans="1:17">
      <c r="A5" s="477" t="s">
        <v>156</v>
      </c>
      <c r="B5" s="478">
        <f ca="1">tertiair!B16</f>
        <v>28322.712556118793</v>
      </c>
      <c r="C5" s="478">
        <f ca="1">tertiair!C16</f>
        <v>0</v>
      </c>
      <c r="D5" s="478">
        <f ca="1">tertiair!D16</f>
        <v>41488.763546399103</v>
      </c>
      <c r="E5" s="478">
        <f>tertiair!E16</f>
        <v>391.36832714259816</v>
      </c>
      <c r="F5" s="478">
        <f ca="1">tertiair!F16</f>
        <v>5220.9260525771906</v>
      </c>
      <c r="G5" s="478">
        <f>tertiair!G16</f>
        <v>0</v>
      </c>
      <c r="H5" s="478">
        <f>tertiair!H16</f>
        <v>0</v>
      </c>
      <c r="I5" s="478">
        <f>tertiair!I16</f>
        <v>0</v>
      </c>
      <c r="J5" s="478">
        <f>tertiair!J16</f>
        <v>0.13048139790334598</v>
      </c>
      <c r="K5" s="478">
        <f>tertiair!K16</f>
        <v>0</v>
      </c>
      <c r="L5" s="478">
        <f ca="1">tertiair!L16</f>
        <v>0</v>
      </c>
      <c r="M5" s="478">
        <f>tertiair!M16</f>
        <v>0</v>
      </c>
      <c r="N5" s="478">
        <f ca="1">tertiair!N16</f>
        <v>5148.2772914575744</v>
      </c>
      <c r="O5" s="478">
        <f>tertiair!O16</f>
        <v>1.5633333333333335</v>
      </c>
      <c r="P5" s="479">
        <f>tertiair!P16</f>
        <v>19.066666666666666</v>
      </c>
      <c r="Q5" s="477">
        <f t="shared" ref="Q5:Q13" ca="1" si="0">SUM(B5:P5)</f>
        <v>80592.808255093172</v>
      </c>
    </row>
    <row r="6" spans="1:17">
      <c r="A6" s="477" t="s">
        <v>194</v>
      </c>
      <c r="B6" s="478">
        <f>'openbare verlichting'!B8</f>
        <v>1574.0340000000001</v>
      </c>
      <c r="C6" s="478"/>
      <c r="D6" s="478"/>
      <c r="E6" s="478"/>
      <c r="F6" s="478"/>
      <c r="G6" s="478"/>
      <c r="H6" s="478"/>
      <c r="I6" s="478"/>
      <c r="J6" s="478"/>
      <c r="K6" s="478"/>
      <c r="L6" s="478"/>
      <c r="M6" s="478"/>
      <c r="N6" s="478"/>
      <c r="O6" s="478"/>
      <c r="P6" s="479"/>
      <c r="Q6" s="477">
        <f t="shared" si="0"/>
        <v>1574.0340000000001</v>
      </c>
    </row>
    <row r="7" spans="1:17">
      <c r="A7" s="477" t="s">
        <v>112</v>
      </c>
      <c r="B7" s="478">
        <f>landbouw!B8</f>
        <v>559.25673521029682</v>
      </c>
      <c r="C7" s="478">
        <f>landbouw!C8</f>
        <v>0</v>
      </c>
      <c r="D7" s="478">
        <f>landbouw!D8</f>
        <v>6373.9912477279177</v>
      </c>
      <c r="E7" s="478">
        <f>landbouw!E8</f>
        <v>16.438263615059174</v>
      </c>
      <c r="F7" s="478">
        <f>landbouw!F8</f>
        <v>2329.8333382383371</v>
      </c>
      <c r="G7" s="478">
        <f>landbouw!G8</f>
        <v>0</v>
      </c>
      <c r="H7" s="478">
        <f>landbouw!H8</f>
        <v>0</v>
      </c>
      <c r="I7" s="478">
        <f>landbouw!I8</f>
        <v>0</v>
      </c>
      <c r="J7" s="478">
        <f>landbouw!J8</f>
        <v>81.024290756104236</v>
      </c>
      <c r="K7" s="478">
        <f>landbouw!K8</f>
        <v>0</v>
      </c>
      <c r="L7" s="478">
        <f>landbouw!L8</f>
        <v>0</v>
      </c>
      <c r="M7" s="478">
        <f>landbouw!M8</f>
        <v>0</v>
      </c>
      <c r="N7" s="478">
        <f>landbouw!N8</f>
        <v>0</v>
      </c>
      <c r="O7" s="478">
        <f>landbouw!O8</f>
        <v>0</v>
      </c>
      <c r="P7" s="479">
        <f>landbouw!P8</f>
        <v>0</v>
      </c>
      <c r="Q7" s="477">
        <f t="shared" si="0"/>
        <v>9360.5438755477153</v>
      </c>
    </row>
    <row r="8" spans="1:17">
      <c r="A8" s="477" t="s">
        <v>635</v>
      </c>
      <c r="B8" s="478">
        <f>industrie!B18</f>
        <v>2755.5414009711203</v>
      </c>
      <c r="C8" s="478">
        <f>industrie!C18</f>
        <v>0</v>
      </c>
      <c r="D8" s="478">
        <f>industrie!D18</f>
        <v>3074.1342350103932</v>
      </c>
      <c r="E8" s="478">
        <f>industrie!E18</f>
        <v>398.88188823524246</v>
      </c>
      <c r="F8" s="478">
        <f>industrie!F18</f>
        <v>1161.7781378570792</v>
      </c>
      <c r="G8" s="478">
        <f>industrie!G18</f>
        <v>0</v>
      </c>
      <c r="H8" s="478">
        <f>industrie!H18</f>
        <v>0</v>
      </c>
      <c r="I8" s="478">
        <f>industrie!I18</f>
        <v>0</v>
      </c>
      <c r="J8" s="478">
        <f>industrie!J18</f>
        <v>2.0597884204811501</v>
      </c>
      <c r="K8" s="478">
        <f>industrie!K18</f>
        <v>0</v>
      </c>
      <c r="L8" s="478">
        <f>industrie!L18</f>
        <v>0</v>
      </c>
      <c r="M8" s="478">
        <f>industrie!M18</f>
        <v>0</v>
      </c>
      <c r="N8" s="478">
        <f>industrie!N18</f>
        <v>1822.5278852796455</v>
      </c>
      <c r="O8" s="478">
        <f>industrie!O18</f>
        <v>0</v>
      </c>
      <c r="P8" s="479">
        <f>industrie!P18</f>
        <v>0</v>
      </c>
      <c r="Q8" s="477">
        <f t="shared" si="0"/>
        <v>9214.9233357739613</v>
      </c>
    </row>
    <row r="9" spans="1:17" s="483" customFormat="1">
      <c r="A9" s="481" t="s">
        <v>561</v>
      </c>
      <c r="B9" s="482">
        <f>transport!B14</f>
        <v>140.86792923774831</v>
      </c>
      <c r="C9" s="482">
        <f>transport!C14</f>
        <v>0</v>
      </c>
      <c r="D9" s="482">
        <f>transport!D14</f>
        <v>479.9897264492123</v>
      </c>
      <c r="E9" s="482">
        <f>transport!E14</f>
        <v>736.23355472614753</v>
      </c>
      <c r="F9" s="482">
        <f>transport!F14</f>
        <v>0</v>
      </c>
      <c r="G9" s="482">
        <f>transport!G14</f>
        <v>226687.80116279461</v>
      </c>
      <c r="H9" s="482">
        <f>transport!H14</f>
        <v>55553.573592881352</v>
      </c>
      <c r="I9" s="482">
        <f>transport!I14</f>
        <v>0</v>
      </c>
      <c r="J9" s="482">
        <f>transport!J14</f>
        <v>0</v>
      </c>
      <c r="K9" s="482">
        <f>transport!K14</f>
        <v>0</v>
      </c>
      <c r="L9" s="482">
        <f>transport!L14</f>
        <v>0</v>
      </c>
      <c r="M9" s="482">
        <f>transport!M14</f>
        <v>14893.118182316966</v>
      </c>
      <c r="N9" s="482">
        <f>transport!N14</f>
        <v>0</v>
      </c>
      <c r="O9" s="482">
        <f>transport!O14</f>
        <v>0</v>
      </c>
      <c r="P9" s="482">
        <f>transport!P14</f>
        <v>0</v>
      </c>
      <c r="Q9" s="481">
        <f>SUM(B9:P9)</f>
        <v>298491.58414840599</v>
      </c>
    </row>
    <row r="10" spans="1:17">
      <c r="A10" s="477" t="s">
        <v>551</v>
      </c>
      <c r="B10" s="478">
        <f>transport!B54</f>
        <v>0</v>
      </c>
      <c r="C10" s="478">
        <f>transport!C54</f>
        <v>0</v>
      </c>
      <c r="D10" s="478">
        <f>transport!D54</f>
        <v>0</v>
      </c>
      <c r="E10" s="478">
        <f>transport!E54</f>
        <v>0</v>
      </c>
      <c r="F10" s="478">
        <f>transport!F54</f>
        <v>0</v>
      </c>
      <c r="G10" s="478">
        <f>transport!G54</f>
        <v>3981.9881612814802</v>
      </c>
      <c r="H10" s="478">
        <f>transport!H54</f>
        <v>0</v>
      </c>
      <c r="I10" s="478">
        <f>transport!I54</f>
        <v>0</v>
      </c>
      <c r="J10" s="478">
        <f>transport!J54</f>
        <v>0</v>
      </c>
      <c r="K10" s="478">
        <f>transport!K54</f>
        <v>0</v>
      </c>
      <c r="L10" s="478">
        <f>transport!L54</f>
        <v>0</v>
      </c>
      <c r="M10" s="478">
        <f>transport!M54</f>
        <v>226.15934876988766</v>
      </c>
      <c r="N10" s="478">
        <f>transport!N54</f>
        <v>0</v>
      </c>
      <c r="O10" s="478">
        <f>transport!O54</f>
        <v>0</v>
      </c>
      <c r="P10" s="479">
        <f>transport!P54</f>
        <v>0</v>
      </c>
      <c r="Q10" s="477">
        <f t="shared" si="0"/>
        <v>4208.147510051368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76940.778148632235</v>
      </c>
      <c r="C14" s="488">
        <f t="shared" ref="C14:Q14" ca="1" si="1">SUM(C4:C13)</f>
        <v>0</v>
      </c>
      <c r="D14" s="488">
        <f t="shared" ca="1" si="1"/>
        <v>185602.07039517898</v>
      </c>
      <c r="E14" s="488">
        <f t="shared" si="1"/>
        <v>6502.2812691256049</v>
      </c>
      <c r="F14" s="488">
        <f t="shared" ca="1" si="1"/>
        <v>55226.022137444408</v>
      </c>
      <c r="G14" s="488">
        <f t="shared" si="1"/>
        <v>230669.78932407609</v>
      </c>
      <c r="H14" s="488">
        <f t="shared" si="1"/>
        <v>55553.573592881352</v>
      </c>
      <c r="I14" s="488">
        <f t="shared" si="1"/>
        <v>0</v>
      </c>
      <c r="J14" s="488">
        <f t="shared" si="1"/>
        <v>83.214560574488743</v>
      </c>
      <c r="K14" s="488">
        <f t="shared" si="1"/>
        <v>0</v>
      </c>
      <c r="L14" s="488">
        <f t="shared" ca="1" si="1"/>
        <v>0</v>
      </c>
      <c r="M14" s="488">
        <f t="shared" si="1"/>
        <v>15119.277531086855</v>
      </c>
      <c r="N14" s="488">
        <f t="shared" ca="1" si="1"/>
        <v>17020.183421152411</v>
      </c>
      <c r="O14" s="488">
        <f t="shared" si="1"/>
        <v>408.03000000000003</v>
      </c>
      <c r="P14" s="489">
        <f t="shared" si="1"/>
        <v>743.6</v>
      </c>
      <c r="Q14" s="489">
        <f t="shared" ca="1" si="1"/>
        <v>643868.82038015232</v>
      </c>
    </row>
    <row r="16" spans="1:17">
      <c r="A16" s="491" t="s">
        <v>556</v>
      </c>
      <c r="B16" s="841">
        <f ca="1">huishoudens!B10</f>
        <v>0.21119112537954868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9205.4759691221661</v>
      </c>
      <c r="C21" s="478">
        <f t="shared" ref="C21:C30" ca="1" si="3">C4*$C$16</f>
        <v>0</v>
      </c>
      <c r="D21" s="478">
        <f t="shared" ref="D21:D30" si="4">D4*$D$16</f>
        <v>27105.408711197655</v>
      </c>
      <c r="E21" s="478">
        <f t="shared" ref="E21:E30" si="5">E4*$E$16</f>
        <v>1125.7745464372886</v>
      </c>
      <c r="F21" s="478">
        <f t="shared" ref="F21:F30" si="6">F4*$F$16</f>
        <v>12419.100390542073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49855.759617299183</v>
      </c>
    </row>
    <row r="22" spans="1:17">
      <c r="A22" s="477" t="s">
        <v>156</v>
      </c>
      <c r="B22" s="478">
        <f t="shared" ca="1" si="2"/>
        <v>5981.5055385282012</v>
      </c>
      <c r="C22" s="478">
        <f t="shared" ca="1" si="3"/>
        <v>0</v>
      </c>
      <c r="D22" s="478">
        <f t="shared" ca="1" si="4"/>
        <v>8380.7302363726194</v>
      </c>
      <c r="E22" s="478">
        <f t="shared" si="5"/>
        <v>88.84061026136979</v>
      </c>
      <c r="F22" s="478">
        <f t="shared" ca="1" si="6"/>
        <v>1393.98725603811</v>
      </c>
      <c r="G22" s="478">
        <f t="shared" si="7"/>
        <v>0</v>
      </c>
      <c r="H22" s="478">
        <f t="shared" si="8"/>
        <v>0</v>
      </c>
      <c r="I22" s="478">
        <f t="shared" si="9"/>
        <v>0</v>
      </c>
      <c r="J22" s="478">
        <f t="shared" si="10"/>
        <v>4.6190414857784474E-2</v>
      </c>
      <c r="K22" s="478">
        <f t="shared" si="11"/>
        <v>0</v>
      </c>
      <c r="L22" s="478">
        <f t="shared" ca="1" si="12"/>
        <v>0</v>
      </c>
      <c r="M22" s="478">
        <f t="shared" si="13"/>
        <v>0</v>
      </c>
      <c r="N22" s="478">
        <f t="shared" ca="1" si="14"/>
        <v>0</v>
      </c>
      <c r="O22" s="478">
        <f t="shared" si="15"/>
        <v>0</v>
      </c>
      <c r="P22" s="479">
        <f t="shared" si="16"/>
        <v>0</v>
      </c>
      <c r="Q22" s="477">
        <f t="shared" ref="Q22:Q30" ca="1" si="17">SUM(B22:P22)</f>
        <v>15845.109831615158</v>
      </c>
    </row>
    <row r="23" spans="1:17">
      <c r="A23" s="477" t="s">
        <v>194</v>
      </c>
      <c r="B23" s="478">
        <f t="shared" ca="1" si="2"/>
        <v>332.42201184567256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332.42201184567256</v>
      </c>
    </row>
    <row r="24" spans="1:17">
      <c r="A24" s="477" t="s">
        <v>112</v>
      </c>
      <c r="B24" s="478">
        <f t="shared" ca="1" si="2"/>
        <v>118.11005928515485</v>
      </c>
      <c r="C24" s="478">
        <f t="shared" ca="1" si="3"/>
        <v>0</v>
      </c>
      <c r="D24" s="478">
        <f t="shared" si="4"/>
        <v>1287.5462320410395</v>
      </c>
      <c r="E24" s="478">
        <f t="shared" si="5"/>
        <v>3.7314858406184328</v>
      </c>
      <c r="F24" s="478">
        <f t="shared" si="6"/>
        <v>622.06550130963603</v>
      </c>
      <c r="G24" s="478">
        <f t="shared" si="7"/>
        <v>0</v>
      </c>
      <c r="H24" s="478">
        <f t="shared" si="8"/>
        <v>0</v>
      </c>
      <c r="I24" s="478">
        <f t="shared" si="9"/>
        <v>0</v>
      </c>
      <c r="J24" s="478">
        <f t="shared" si="10"/>
        <v>28.682598927660898</v>
      </c>
      <c r="K24" s="478">
        <f t="shared" si="11"/>
        <v>0</v>
      </c>
      <c r="L24" s="478">
        <f t="shared" si="12"/>
        <v>0</v>
      </c>
      <c r="M24" s="478">
        <f t="shared" si="13"/>
        <v>0</v>
      </c>
      <c r="N24" s="478">
        <f t="shared" si="14"/>
        <v>0</v>
      </c>
      <c r="O24" s="478">
        <f t="shared" si="15"/>
        <v>0</v>
      </c>
      <c r="P24" s="479">
        <f t="shared" si="16"/>
        <v>0</v>
      </c>
      <c r="Q24" s="477">
        <f t="shared" ca="1" si="17"/>
        <v>2060.1358774041096</v>
      </c>
    </row>
    <row r="25" spans="1:17">
      <c r="A25" s="477" t="s">
        <v>635</v>
      </c>
      <c r="B25" s="478">
        <f t="shared" ca="1" si="2"/>
        <v>581.94588950102911</v>
      </c>
      <c r="C25" s="478">
        <f t="shared" ca="1" si="3"/>
        <v>0</v>
      </c>
      <c r="D25" s="478">
        <f t="shared" si="4"/>
        <v>620.97511547209945</v>
      </c>
      <c r="E25" s="478">
        <f t="shared" si="5"/>
        <v>90.546188629400035</v>
      </c>
      <c r="F25" s="478">
        <f t="shared" si="6"/>
        <v>310.19476280784016</v>
      </c>
      <c r="G25" s="478">
        <f t="shared" si="7"/>
        <v>0</v>
      </c>
      <c r="H25" s="478">
        <f t="shared" si="8"/>
        <v>0</v>
      </c>
      <c r="I25" s="478">
        <f t="shared" si="9"/>
        <v>0</v>
      </c>
      <c r="J25" s="478">
        <f t="shared" si="10"/>
        <v>0.72916510085032704</v>
      </c>
      <c r="K25" s="478">
        <f t="shared" si="11"/>
        <v>0</v>
      </c>
      <c r="L25" s="478">
        <f t="shared" si="12"/>
        <v>0</v>
      </c>
      <c r="M25" s="478">
        <f t="shared" si="13"/>
        <v>0</v>
      </c>
      <c r="N25" s="478">
        <f t="shared" si="14"/>
        <v>0</v>
      </c>
      <c r="O25" s="478">
        <f t="shared" si="15"/>
        <v>0</v>
      </c>
      <c r="P25" s="479">
        <f t="shared" si="16"/>
        <v>0</v>
      </c>
      <c r="Q25" s="477">
        <f t="shared" ca="1" si="17"/>
        <v>1604.3911215112194</v>
      </c>
    </row>
    <row r="26" spans="1:17" s="483" customFormat="1">
      <c r="A26" s="481" t="s">
        <v>561</v>
      </c>
      <c r="B26" s="835">
        <f t="shared" ca="1" si="2"/>
        <v>29.750056505606697</v>
      </c>
      <c r="C26" s="482">
        <f t="shared" ca="1" si="3"/>
        <v>0</v>
      </c>
      <c r="D26" s="482">
        <f t="shared" si="4"/>
        <v>96.957924742740886</v>
      </c>
      <c r="E26" s="482">
        <f t="shared" si="5"/>
        <v>167.1250169228355</v>
      </c>
      <c r="F26" s="482">
        <f t="shared" si="6"/>
        <v>0</v>
      </c>
      <c r="G26" s="482">
        <f t="shared" si="7"/>
        <v>60525.642910466166</v>
      </c>
      <c r="H26" s="482">
        <f t="shared" si="8"/>
        <v>13832.839824627457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74652.315733264797</v>
      </c>
    </row>
    <row r="27" spans="1:17">
      <c r="A27" s="477" t="s">
        <v>551</v>
      </c>
      <c r="B27" s="478">
        <f t="shared" ca="1" si="2"/>
        <v>0</v>
      </c>
      <c r="C27" s="478">
        <f t="shared" ca="1" si="3"/>
        <v>0</v>
      </c>
      <c r="D27" s="478">
        <f t="shared" si="4"/>
        <v>0</v>
      </c>
      <c r="E27" s="478">
        <f t="shared" si="5"/>
        <v>0</v>
      </c>
      <c r="F27" s="478">
        <f t="shared" si="6"/>
        <v>0</v>
      </c>
      <c r="G27" s="478">
        <f t="shared" si="7"/>
        <v>1063.1908390621552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1063.1908390621552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16249.20952478783</v>
      </c>
      <c r="C31" s="488">
        <f t="shared" ca="1" si="18"/>
        <v>0</v>
      </c>
      <c r="D31" s="488">
        <f t="shared" ca="1" si="18"/>
        <v>37491.618219826152</v>
      </c>
      <c r="E31" s="488">
        <f t="shared" si="18"/>
        <v>1476.0178480915124</v>
      </c>
      <c r="F31" s="488">
        <f t="shared" ca="1" si="18"/>
        <v>14745.347910697659</v>
      </c>
      <c r="G31" s="488">
        <f t="shared" si="18"/>
        <v>61588.833749528319</v>
      </c>
      <c r="H31" s="488">
        <f t="shared" si="18"/>
        <v>13832.839824627457</v>
      </c>
      <c r="I31" s="488">
        <f t="shared" si="18"/>
        <v>0</v>
      </c>
      <c r="J31" s="488">
        <f t="shared" si="18"/>
        <v>29.457954443369008</v>
      </c>
      <c r="K31" s="488">
        <f t="shared" si="18"/>
        <v>0</v>
      </c>
      <c r="L31" s="488">
        <f t="shared" ca="1" si="18"/>
        <v>0</v>
      </c>
      <c r="M31" s="488">
        <f t="shared" si="18"/>
        <v>0</v>
      </c>
      <c r="N31" s="488">
        <f t="shared" ca="1" si="18"/>
        <v>0</v>
      </c>
      <c r="O31" s="488">
        <f t="shared" si="18"/>
        <v>0</v>
      </c>
      <c r="P31" s="489">
        <f t="shared" si="18"/>
        <v>0</v>
      </c>
      <c r="Q31" s="489">
        <f t="shared" ca="1" si="18"/>
        <v>145413.32503200229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0.21119112537954868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0.21119112537954868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0.21119112537954868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2018-09-06T12:46:47Z</dcterms:modified>
</cp:coreProperties>
</file>