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<sst xmlns="http://schemas.openxmlformats.org/spreadsheetml/2006/main" count="1914" uniqueCount="809">
  <si>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</si>
  <si>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</si>
  <si>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</si>
  <si>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</si>
  <si>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</si>
  <si>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</si>
  <si>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</si>
  <si>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</si>
  <si>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</si>
  <si>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</si>
  <si>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</si>
  <si>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</si>
  <si>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</si>
  <si>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</si>
  <si>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</si>
  <si>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</si>
  <si>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</si>
  <si>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</si>
  <si>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</si>
  <si>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</si>
  <si>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</si>
  <si>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</si>
  <si>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</si>
  <si>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</si>
  <si>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</si>
  <si>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</si>
  <si>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</si>
  <si>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</si>
  <si>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</si>
  <si>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</si>
  <si>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</si>
  <si>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</si>
  <si>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</si>
  <si>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</si>
  <si>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</si>
  <si>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</si>
  <si>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</si>
  <si>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</si>
  <si>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</si>
  <si>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</si>
  <si>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</si>
  <si>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</si>
  <si>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</si>
  <si>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</si>
  <si>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</si>
  <si>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</si>
  <si>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</si>
  <si>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</si>
  <si>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</si>
  <si>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</si>
  <si>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</si>
  <si>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</si>
  <si>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</si>
  <si>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</si>
  <si>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</si>
  <si>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</si>
  <si>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</si>
  <si>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</si>
  <si>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</si>
  <si>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</si>
  <si>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</si>
  <si>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</si>
  <si>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</si>
  <si>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</si>
  <si>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</si>
  <si>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</si>
  <si>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</si>
  <si>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</si>
  <si>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</si>
  <si>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</si>
  <si>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</si>
  <si>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</si>
  <si>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</si>
  <si>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</si>
  <si>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</si>
  <si>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</si>
  <si>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</si>
  <si>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</si>
  <si>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</si>
  <si>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</si>
  <si>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</si>
  <si>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</si>
  <si>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</si>
  <si>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</si>
  <si>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</si>
  <si>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</si>
  <si>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</si>
  <si>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</si>
  <si>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</si>
  <si>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</si>
  <si>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</si>
  <si>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</si>
  <si>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</si>
  <si>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</si>
  <si>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</si>
  <si>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</si>
  <si>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</si>
  <si>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</si>
  <si>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</si>
  <si>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</si>
  <si>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</si>
  <si>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</si>
  <si>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</si>
  <si>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</si>
  <si>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</si>
  <si>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</si>
  <si>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</si>
  <si>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</si>
  <si>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</si>
  <si>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</si>
  <si>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</si>
  <si>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</si>
  <si>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</si>
  <si>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</si>
  <si>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</si>
  <si>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</si>
  <si>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</si>
  <si>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</si>
  <si>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</si>
  <si>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</si>
  <si>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</si>
  <si>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</si>
  <si>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</si>
  <si>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</si>
  <si>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</si>
  <si>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</si>
  <si>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</si>
  <si>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</si>
  <si>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</si>
  <si>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</si>
  <si>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</si>
  <si>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</si>
  <si>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</si>
  <si>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</si>
  <si>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</si>
  <si>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</si>
  <si>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</si>
  <si>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</si>
  <si>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</si>
  <si>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</si>
  <si>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</si>
  <si>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</si>
  <si>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</si>
  <si>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</si>
  <si>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</si>
  <si>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</si>
  <si>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</si>
  <si>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</si>
  <si>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</si>
  <si>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</si>
  <si>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</si>
  <si>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</si>
  <si>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</si>
  <si>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</si>
  <si>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</si>
  <si>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</si>
  <si>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</si>
  <si>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</si>
  <si>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</si>
  <si>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</si>
  <si>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</si>
  <si>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</si>
  <si>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</si>
  <si>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</si>
  <si>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</si>
  <si>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</si>
  <si>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</si>
  <si>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</si>
  <si>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</si>
  <si>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</si>
  <si>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</si>
  <si>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</si>
  <si>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</si>
  <si>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</si>
  <si>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</si>
  <si>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</si>
  <si>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</si>
  <si>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</si>
  <si>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</si>
  <si>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</si>
  <si>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</si>
  <si>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</si>
  <si>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</si>
  <si>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</si>
  <si>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</si>
  <si>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</si>
  <si>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</si>
  <si>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</si>
  <si>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</si>
  <si>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</si>
  <si>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</si>
  <si>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</si>
  <si>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</si>
  <si>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</si>
  <si>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</si>
  <si>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</si>
  <si>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</si>
  <si>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</si>
  <si>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</si>
  <si>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</si>
  <si>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</si>
  <si>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</si>
  <si>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</si>
  <si>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</si>
  <si>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</si>
  <si>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</si>
  <si>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</si>
  <si>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</si>
  <si>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</si>
  <si>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</si>
  <si>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</si>
  <si>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</si>
  <si>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</si>
  <si>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</si>
  <si>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</si>
  <si>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</si>
  <si>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</si>
  <si>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</si>
  <si>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</si>
  <si>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</si>
  <si>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</si>
  <si>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</si>
  <si>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</si>
  <si>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</si>
  <si>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</si>
  <si>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</si>
  <si>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</si>
  <si>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</si>
  <si>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</si>
  <si>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</si>
  <si>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</si>
  <si>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</si>
  <si>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</si>
  <si>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</si>
  <si>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</si>
  <si>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</si>
  <si>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</si>
  <si>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</si>
  <si>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</si>
  <si>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</si>
  <si>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</si>
  <si>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</si>
  <si>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</si>
  <si>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</si>
  <si>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</si>
  <si>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</si>
  <si>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</si>
  <si>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</si>
  <si>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</si>
  <si>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</si>
  <si>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</si>
  <si>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</si>
  <si>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</si>
  <si>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</si>
  <si>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</si>
  <si>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</si>
  <si>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</si>
  <si>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</si>
  <si>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</si>
  <si>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</si>
  <si>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</si>
  <si>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</si>
  <si>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</si>
  <si>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</si>
  <si>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</si>
  <si>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</si>
  <si>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</si>
  <si>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</si>
  <si>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</si>
  <si>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</si>
  <si>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</si>
  <si>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</si>
  <si>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</si>
  <si>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</si>
  <si>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</si>
  <si>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</si>
  <si>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</si>
  <si>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</si>
  <si>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</si>
  <si>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</si>
  <si>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</si>
  <si>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</si>
  <si>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</si>
  <si>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</si>
  <si>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</si>
  <si>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</si>
  <si>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</si>
  <si>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</si>
  <si>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</si>
  <si>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</si>
  <si>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</si>
  <si>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</si>
  <si>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</si>
  <si>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</si>
  <si>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</si>
  <si>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</si>
  <si>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</si>
  <si>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</si>
  <si>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</si>
  <si>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</si>
  <si>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</si>
  <si>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</si>
  <si>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</si>
  <si>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</si>
  <si>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</si>
  <si>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</si>
  <si>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</si>
  <si>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</si>
  <si>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</si>
  <si>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</si>
  <si>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</si>
  <si>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</si>
  <si>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</si>
  <si>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</si>
  <si>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</si>
  <si>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</si>
  <si>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</si>
  <si>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</si>
  <si>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</si>
  <si>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</si>
  <si>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</si>
  <si>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</si>
  <si>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</si>
  <si>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</si>
  <si>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</si>
  <si>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</si>
  <si>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</si>
  <si>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</si>
  <si>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</si>
  <si>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</si>
  <si>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</si>
  <si>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</si>
  <si>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</si>
  <si>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</si>
  <si>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</si>
  <si>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</si>
  <si>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</si>
  <si>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</si>
  <si>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</si>
  <si>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</si>
  <si>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</si>
  <si>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</si>
  <si>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</si>
  <si>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</si>
  <si>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</si>
  <si>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</si>
  <si>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</si>
  <si>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</si>
  <si>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</si>
  <si>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</si>
  <si>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</si>
  <si>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</si>
  <si>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</si>
  <si>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</si>
  <si>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</si>
  <si>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</si>
  <si>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</si>
  <si>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</si>
  <si>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</si>
  <si>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</si>
  <si>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</si>
  <si>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</si>
  <si>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</si>
  <si>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</si>
  <si>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</si>
  <si>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</si>
  <si>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</si>
  <si>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</si>
  <si>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</si>
  <si>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</si>
  <si>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</si>
  <si>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</si>
  <si>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</si>
  <si>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</si>
  <si>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</si>
  <si>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</si>
  <si>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</si>
  <si>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</si>
  <si>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</si>
  <si>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</si>
  <si>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</si>
  <si>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</si>
  <si>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</si>
  <si>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</si>
  <si>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</si>
  <si>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</si>
  <si>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</si>
  <si>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</si>
  <si>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</si>
  <si>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</si>
  <si>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</si>
  <si>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</si>
  <si>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</si>
  <si>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</si>
  <si>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</si>
  <si>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</si>
  <si>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</si>
  <si>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</si>
  <si>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</si>
  <si>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</si>
  <si>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</si>
  <si>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</si>
  <si>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</si>
  <si>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</si>
  <si>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</si>
  <si>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</si>
  <si>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</si>
  <si>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</si>
  <si>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</si>
  <si>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</si>
  <si>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</si>
  <si>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</si>
  <si>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</si>
  <si>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</si>
  <si>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</si>
  <si>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</si>
  <si>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</si>
  <si>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</si>
  <si>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</si>
  <si>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</si>
  <si>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</si>
  <si>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</si>
  <si>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</si>
  <si>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</si>
  <si>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</si>
  <si>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</si>
  <si>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</si>
  <si>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</si>
  <si>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</si>
  <si>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</si>
  <si>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</si>
  <si>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</si>
  <si>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</si>
  <si>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</si>
  <si>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</si>
  <si>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</si>
  <si>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</si>
  <si>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</si>
  <si>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</si>
  <si>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</si>
  <si>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</si>
  <si>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</si>
  <si>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</si>
  <si>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</si>
  <si>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</si>
  <si>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</si>
  <si>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</si>
  <si>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</si>
  <si>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</si>
  <si>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</si>
  <si>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</si>
  <si>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</si>
  <si>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</si>
  <si>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</si>
  <si>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</si>
  <si>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</si>
  <si>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</si>
  <si>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</si>
  <si>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</si>
  <si>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</si>
  <si>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</si>
  <si>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</si>
  <si>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</si>
  <si>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</si>
  <si>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</si>
  <si>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</si>
  <si>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</si>
  <si>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</si>
  <si>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</si>
  <si>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</si>
  <si>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</si>
  <si>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</si>
  <si>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</si>
  <si>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</si>
  <si>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</si>
  <si>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</si>
  <si>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</si>
  <si>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</si>
  <si>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</si>
  <si>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</si>
  <si>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</si>
  <si>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</si>
  <si>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</si>
  <si>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</si>
  <si>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</si>
  <si>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</si>
  <si>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</si>
  <si>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</si>
  <si>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</si>
  <si>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</si>
  <si>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</si>
  <si>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</si>
  <si>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</si>
  <si>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</si>
  <si>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</si>
  <si>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</si>
  <si>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</si>
  <si>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</si>
  <si>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</si>
  <si>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</si>
  <si>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</si>
  <si>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</si>
  <si>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</si>
  <si>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</si>
  <si>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</si>
  <si>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</si>
  <si>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</si>
  <si>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</si>
  <si>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</si>
  <si>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</si>
  <si>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</si>
  <si>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</si>
  <si>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</si>
  <si>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</si>
  <si>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</si>
  <si>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</si>
  <si>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</si>
  <si>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</si>
  <si>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</si>
  <si>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</si>
  <si>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</si>
  <si>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</si>
  <si>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</si>
  <si>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</si>
  <si>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</si>
  <si>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</si>
  <si>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</si>
  <si>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</si>
  <si>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</si>
  <si>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</si>
  <si>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</si>
  <si>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</si>
  <si>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</si>
  <si>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</si>
  <si>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</si>
  <si>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</si>
  <si>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</si>
  <si>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</si>
  <si>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</si>
  <si>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</si>
  <si>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</si>
  <si>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</si>
  <si>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</si>
  <si>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</si>
  <si>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</si>
  <si>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</si>
  <si>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</si>
  <si>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</si>
  <si>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</si>
  <si>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</si>
  <si>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</si>
  <si>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</si>
  <si>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</si>
  <si>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</si>
  <si>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</si>
  <si>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</si>
  <si>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</si>
  <si>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</si>
  <si>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</si>
  <si>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</si>
  <si>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</si>
  <si>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</si>
  <si>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</si>
  <si>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</si>
  <si>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</si>
  <si>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</si>
  <si>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</si>
  <si>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</si>
  <si>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</si>
  <si>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</si>
  <si>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</si>
  <si>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</si>
  <si>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</si>
  <si>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</si>
  <si>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</si>
  <si>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</si>
  <si>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</si>
  <si>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</si>
  <si>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</si>
  <si>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</si>
  <si>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</si>
  <si>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</si>
  <si>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</si>
  <si>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</si>
  <si>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</si>
  <si>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</si>
  <si>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</si>
  <si>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</si>
  <si>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</si>
  <si>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</si>
  <si>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</si>
  <si>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</si>
  <si>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</si>
  <si>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</si>
  <si>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</si>
  <si>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</si>
  <si>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</si>
  <si>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</si>
  <si>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</si>
  <si>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</si>
  <si>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</si>
  <si>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</si>
  <si>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</si>
  <si>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</si>
  <si>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</si>
  <si>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</si>
  <si>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</si>
  <si>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</si>
  <si>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</si>
  <si>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</si>
  <si>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</si>
  <si>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</si>
  <si>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</si>
  <si>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</si>
  <si>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</si>
  <si>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</si>
  <si>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</si>
  <si>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</si>
  <si>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</si>
  <si>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</si>
  <si>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</si>
  <si>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</si>
  <si>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</si>
  <si>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</si>
  <si>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</si>
  <si>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</si>
  <si>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</si>
  <si>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</si>
  <si>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</si>
  <si>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</si>
  <si>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</si>
  <si>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</si>
  <si>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</si>
  <si>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</si>
  <si>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</si>
  <si>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</si>
  <si>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</si>
  <si>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</si>
  <si>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</si>
  <si>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</si>
  <si>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</si>
  <si>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</si>
  <si>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</si>
  <si>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</si>
  <si>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</si>
  <si>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</si>
  <si>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</si>
  <si>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</si>
  <si>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</si>
  <si>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</si>
  <si>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</si>
  <si>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</si>
  <si>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</si>
  <si>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</si>
  <si>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</si>
  <si>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</si>
  <si>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</si>
  <si>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</si>
  <si>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</si>
  <si>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</si>
  <si>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</si>
  <si>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</si>
  <si>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</si>
  <si>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</si>
  <si>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</si>
  <si>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</si>
  <si>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</si>
  <si>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</si>
  <si>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</si>
  <si>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</si>
  <si>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</si>
  <si>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</si>
  <si>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</si>
  <si>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</si>
  <si>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</si>
  <si>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</si>
  <si>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</si>
  <si>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</si>
  <si>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</si>
  <si>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</si>
  <si>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</si>
  <si>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</si>
  <si>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</si>
  <si>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</si>
  <si>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</si>
  <si>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</si>
  <si>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</si>
  <si>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</si>
  <si>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</si>
  <si>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</si>
  <si>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</si>
  <si>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</si>
  <si>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</si>
  <si>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</si>
  <si>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</si>
  <si>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</si>
  <si>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</si>
  <si>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</si>
  <si>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</si>
  <si>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</si>
  <si>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</si>
  <si>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</si>
  <si>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</si>
  <si>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</si>
  <si>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</si>
  <si>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</si>
  <si>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</si>
  <si>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</si>
  <si>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</si>
  <si>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</si>
  <si>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</si>
  <si>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</si>
  <si>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</si>
  <si>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</si>
  <si>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</si>
  <si>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</si>
  <si>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</si>
  <si>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</si>
  <si>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</si>
  <si>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</si>
  <si>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</si>
  <si>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</si>
  <si>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</si>
  <si>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</si>
  <si>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</si>
  <si>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</si>
  <si>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</si>
  <si>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</si>
  <si>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</si>
  <si>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</si>
  <si>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</si>
  <si>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</si>
  <si>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</si>
  <si>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</si>
  <si>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</si>
  <si>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</si>
  <si>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</si>
  <si>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</si>
  <si>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</si>
  <si>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</si>
  <si>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</si>
  <si>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</si>
  <si>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</si>
  <si>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</si>
  <si>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</si>
  <si>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</si>
  <si>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</si>
  <si>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</si>
  <si>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</si>
  <si>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</si>
  <si>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</si>
  <si>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</si>
  <si>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</si>
  <si>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</si>
  <si>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</si>
  <si>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</si>
  <si>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</si>
  <si>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</si>
  <si>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</si>
  <si>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</si>
  <si>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</si>
  <si>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</si>
  <si>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</si>
  <si>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</si>
  <si>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</si>
  <si>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</si>
  <si>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</si>
  <si>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</si>
  <si>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</si>
  <si>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</si>
  <si>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</si>
  <si>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</si>
  <si>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</si>
  <si>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</si>
  <si>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</si>
  <si>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</si>
  <si>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</si>
  <si>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</si>
  <si>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</si>
  <si>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</si>
  <si>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</si>
  <si>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</si>
  <si>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</si>
  <si>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</si>
  <si>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</si>
  <si>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</si>
  <si>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</si>
  <si>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</si>
  <si>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</si>
  <si>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</si>
  <si>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</si>
  <si>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</si>
  <si>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</si>
  <si>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</si>
  <si>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</si>
  <si>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</si>
  <si>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</si>
  <si>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</si>
  <si>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</si>
  <si>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</si>
  <si>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</si>
  <si>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23038</t>
  </si>
  <si>
    <t>KAMPENHOUT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</si>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</sst>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98603.03909489949</c:v>
                </c:pt>
                <c:pt idx="1">
                  <c:v>24286.225777000021</c:v>
                </c:pt>
                <c:pt idx="2">
                  <c:v>1137.5409999999999</c:v>
                </c:pt>
                <c:pt idx="3">
                  <c:v>5231.0897022891404</c:v>
                </c:pt>
                <c:pt idx="4">
                  <c:v>14636.608752021046</c:v>
                </c:pt>
                <c:pt idx="5">
                  <c:v>74443.433312121982</c:v>
                </c:pt>
                <c:pt idx="6">
                  <c:v>2820.6889053186442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98603.03909489949</c:v>
                </c:pt>
                <c:pt idx="1">
                  <c:v>24286.225777000021</c:v>
                </c:pt>
                <c:pt idx="2">
                  <c:v>1137.5409999999999</c:v>
                </c:pt>
                <c:pt idx="3">
                  <c:v>5231.0897022891404</c:v>
                </c:pt>
                <c:pt idx="4">
                  <c:v>14636.608752021046</c:v>
                </c:pt>
                <c:pt idx="5">
                  <c:v>74443.433312121982</c:v>
                </c:pt>
                <c:pt idx="6">
                  <c:v>2820.6889053186442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20447.086189557587</c:v>
                </c:pt>
                <c:pt idx="1">
                  <c:v>4736.3735986055626</c:v>
                </c:pt>
                <c:pt idx="2">
                  <c:v>224.62889710193681</c:v>
                </c:pt>
                <c:pt idx="3">
                  <c:v>1331.5912143754949</c:v>
                </c:pt>
                <c:pt idx="4">
                  <c:v>1414.67542461229</c:v>
                </c:pt>
                <c:pt idx="5">
                  <c:v>18625.239578248984</c:v>
                </c:pt>
                <c:pt idx="6">
                  <c:v>712.64864095565758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20447.086189557587</c:v>
                </c:pt>
                <c:pt idx="1">
                  <c:v>4736.3735986055626</c:v>
                </c:pt>
                <c:pt idx="2">
                  <c:v>224.62889710193681</c:v>
                </c:pt>
                <c:pt idx="3">
                  <c:v>1331.5912143754949</c:v>
                </c:pt>
                <c:pt idx="4">
                  <c:v>1414.67542461229</c:v>
                </c:pt>
                <c:pt idx="5">
                  <c:v>18625.239578248984</c:v>
                </c:pt>
                <c:pt idx="6">
                  <c:v>712.64864095565758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23038</v>
      </c>
      <c r="B6" s="415"/>
      <c r="C6" s="416"/>
    </row>
    <row r="7" spans="1:7" s="413" customFormat="1" ht="15.75" customHeight="1">
      <c r="A7" s="417" t="str">
        <f>txtMunicipality</f>
        <v>KAMPENHOUT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4637</v>
      </c>
      <c r="C9" s="342">
        <v>4633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1422.92</v>
      </c>
    </row>
    <row r="15" spans="1:6">
      <c r="A15" s="348" t="s">
        <v>184</v>
      </c>
      <c r="B15" s="334">
        <v>1</v>
      </c>
    </row>
    <row r="16" spans="1:6">
      <c r="A16" s="348" t="s">
        <v>6</v>
      </c>
      <c r="B16" s="334">
        <v>0</v>
      </c>
    </row>
    <row r="17" spans="1:6">
      <c r="A17" s="348" t="s">
        <v>7</v>
      </c>
      <c r="B17" s="334">
        <v>45</v>
      </c>
    </row>
    <row r="18" spans="1:6">
      <c r="A18" s="348" t="s">
        <v>8</v>
      </c>
      <c r="B18" s="334">
        <v>36</v>
      </c>
    </row>
    <row r="19" spans="1:6">
      <c r="A19" s="348" t="s">
        <v>9</v>
      </c>
      <c r="B19" s="334">
        <v>46</v>
      </c>
    </row>
    <row r="20" spans="1:6">
      <c r="A20" s="348" t="s">
        <v>10</v>
      </c>
      <c r="B20" s="334">
        <v>22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42</v>
      </c>
    </row>
    <row r="27" spans="1:6">
      <c r="A27" s="348" t="s">
        <v>17</v>
      </c>
      <c r="B27" s="334">
        <v>0</v>
      </c>
    </row>
    <row r="28" spans="1:6" s="356" customFormat="1">
      <c r="A28" s="355" t="s">
        <v>18</v>
      </c>
      <c r="B28" s="355">
        <v>0</v>
      </c>
    </row>
    <row r="29" spans="1:6">
      <c r="A29" s="355" t="s">
        <v>744</v>
      </c>
      <c r="B29" s="355">
        <v>151</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2308</v>
      </c>
      <c r="D39" s="334">
        <v>40012998.5</v>
      </c>
      <c r="E39" s="334">
        <v>4597</v>
      </c>
      <c r="F39" s="334">
        <v>18229760.37031867</v>
      </c>
    </row>
    <row r="40" spans="1:6">
      <c r="A40" s="348" t="s">
        <v>30</v>
      </c>
      <c r="B40" s="348" t="s">
        <v>29</v>
      </c>
      <c r="C40" s="334">
        <v>0</v>
      </c>
      <c r="D40" s="334">
        <v>0</v>
      </c>
      <c r="E40" s="334">
        <v>0</v>
      </c>
      <c r="F40" s="334">
        <v>0</v>
      </c>
    </row>
    <row r="41" spans="1:6">
      <c r="A41" s="348" t="s">
        <v>32</v>
      </c>
      <c r="B41" s="348" t="s">
        <v>33</v>
      </c>
      <c r="C41" s="334">
        <v>29</v>
      </c>
      <c r="D41" s="334">
        <v>530721.19999999995</v>
      </c>
      <c r="E41" s="334">
        <v>98</v>
      </c>
      <c r="F41" s="334">
        <v>587263.05000000005</v>
      </c>
    </row>
    <row r="42" spans="1:6">
      <c r="A42" s="348" t="s">
        <v>32</v>
      </c>
      <c r="B42" s="348" t="s">
        <v>34</v>
      </c>
      <c r="C42" s="334">
        <v>0</v>
      </c>
      <c r="D42" s="334">
        <v>0</v>
      </c>
      <c r="E42" s="334">
        <v>3</v>
      </c>
      <c r="F42" s="334">
        <v>5557</v>
      </c>
    </row>
    <row r="43" spans="1:6">
      <c r="A43" s="348" t="s">
        <v>32</v>
      </c>
      <c r="B43" s="348" t="s">
        <v>35</v>
      </c>
      <c r="C43" s="334">
        <v>0</v>
      </c>
      <c r="D43" s="334">
        <v>0</v>
      </c>
      <c r="E43" s="334">
        <v>0</v>
      </c>
      <c r="F43" s="334">
        <v>0</v>
      </c>
    </row>
    <row r="44" spans="1:6">
      <c r="A44" s="348" t="s">
        <v>32</v>
      </c>
      <c r="B44" s="348" t="s">
        <v>36</v>
      </c>
      <c r="C44" s="334">
        <v>5</v>
      </c>
      <c r="D44" s="334">
        <v>384808</v>
      </c>
      <c r="E44" s="334">
        <v>16</v>
      </c>
      <c r="F44" s="334">
        <v>998892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327400</v>
      </c>
      <c r="E47" s="334">
        <v>5</v>
      </c>
      <c r="F47" s="334">
        <v>2582232</v>
      </c>
    </row>
    <row r="48" spans="1:6">
      <c r="A48" s="348" t="s">
        <v>32</v>
      </c>
      <c r="B48" s="348" t="s">
        <v>29</v>
      </c>
      <c r="C48" s="334">
        <v>0</v>
      </c>
      <c r="D48" s="334">
        <v>0</v>
      </c>
      <c r="E48" s="334">
        <v>1</v>
      </c>
      <c r="F48" s="334">
        <v>152</v>
      </c>
    </row>
    <row r="49" spans="1:6">
      <c r="A49" s="348" t="s">
        <v>32</v>
      </c>
      <c r="B49" s="348" t="s">
        <v>40</v>
      </c>
      <c r="C49" s="334">
        <v>0</v>
      </c>
      <c r="D49" s="334">
        <v>0</v>
      </c>
      <c r="E49" s="334">
        <v>0</v>
      </c>
      <c r="F49" s="334">
        <v>0</v>
      </c>
    </row>
    <row r="50" spans="1:6">
      <c r="A50" s="348" t="s">
        <v>32</v>
      </c>
      <c r="B50" s="348" t="s">
        <v>41</v>
      </c>
      <c r="C50" s="334">
        <v>0</v>
      </c>
      <c r="D50" s="334">
        <v>0</v>
      </c>
      <c r="E50" s="334">
        <v>4</v>
      </c>
      <c r="F50" s="334">
        <v>716803</v>
      </c>
    </row>
    <row r="51" spans="1:6">
      <c r="A51" s="348" t="s">
        <v>42</v>
      </c>
      <c r="B51" s="348" t="s">
        <v>43</v>
      </c>
      <c r="C51" s="334">
        <v>6</v>
      </c>
      <c r="D51" s="334">
        <v>167867</v>
      </c>
      <c r="E51" s="334">
        <v>43</v>
      </c>
      <c r="F51" s="334">
        <v>951211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1137541</v>
      </c>
    </row>
    <row r="55" spans="1:6">
      <c r="A55" s="348" t="s">
        <v>46</v>
      </c>
      <c r="B55" s="348" t="s">
        <v>29</v>
      </c>
      <c r="C55" s="334">
        <v>0</v>
      </c>
      <c r="D55" s="334">
        <v>0</v>
      </c>
      <c r="E55" s="334">
        <v>0</v>
      </c>
      <c r="F55" s="334">
        <v>0</v>
      </c>
    </row>
    <row r="56" spans="1:6">
      <c r="A56" s="348" t="s">
        <v>48</v>
      </c>
      <c r="B56" s="348" t="s">
        <v>29</v>
      </c>
      <c r="C56" s="334">
        <v>3</v>
      </c>
      <c r="D56" s="334">
        <v>522763</v>
      </c>
      <c r="E56" s="334">
        <v>12</v>
      </c>
      <c r="F56" s="334">
        <v>1519396</v>
      </c>
    </row>
    <row r="57" spans="1:6">
      <c r="A57" s="348" t="s">
        <v>49</v>
      </c>
      <c r="B57" s="348" t="s">
        <v>50</v>
      </c>
      <c r="C57" s="334">
        <v>17</v>
      </c>
      <c r="D57" s="334">
        <v>635692</v>
      </c>
      <c r="E57" s="334">
        <v>55</v>
      </c>
      <c r="F57" s="334">
        <v>1452364</v>
      </c>
    </row>
    <row r="58" spans="1:6">
      <c r="A58" s="348" t="s">
        <v>49</v>
      </c>
      <c r="B58" s="348" t="s">
        <v>51</v>
      </c>
      <c r="C58" s="334">
        <v>16</v>
      </c>
      <c r="D58" s="334">
        <v>474313.2</v>
      </c>
      <c r="E58" s="334">
        <v>21</v>
      </c>
      <c r="F58" s="334">
        <v>492300</v>
      </c>
    </row>
    <row r="59" spans="1:6">
      <c r="A59" s="348" t="s">
        <v>49</v>
      </c>
      <c r="B59" s="348" t="s">
        <v>52</v>
      </c>
      <c r="C59" s="334">
        <v>45</v>
      </c>
      <c r="D59" s="334">
        <v>1595552</v>
      </c>
      <c r="E59" s="334">
        <v>159</v>
      </c>
      <c r="F59" s="334">
        <v>6296159</v>
      </c>
    </row>
    <row r="60" spans="1:6">
      <c r="A60" s="348" t="s">
        <v>49</v>
      </c>
      <c r="B60" s="348" t="s">
        <v>53</v>
      </c>
      <c r="C60" s="334">
        <v>12</v>
      </c>
      <c r="D60" s="334">
        <v>464409</v>
      </c>
      <c r="E60" s="334">
        <v>44</v>
      </c>
      <c r="F60" s="334">
        <v>1246390</v>
      </c>
    </row>
    <row r="61" spans="1:6">
      <c r="A61" s="348" t="s">
        <v>49</v>
      </c>
      <c r="B61" s="348" t="s">
        <v>54</v>
      </c>
      <c r="C61" s="334">
        <v>108</v>
      </c>
      <c r="D61" s="334">
        <v>4301044</v>
      </c>
      <c r="E61" s="334">
        <v>262</v>
      </c>
      <c r="F61" s="334">
        <v>2615041.4</v>
      </c>
    </row>
    <row r="62" spans="1:6">
      <c r="A62" s="348" t="s">
        <v>49</v>
      </c>
      <c r="B62" s="348" t="s">
        <v>55</v>
      </c>
      <c r="C62" s="334">
        <v>8</v>
      </c>
      <c r="D62" s="334">
        <v>1715306</v>
      </c>
      <c r="E62" s="334">
        <v>8</v>
      </c>
      <c r="F62" s="334">
        <v>64187</v>
      </c>
    </row>
    <row r="63" spans="1:6">
      <c r="A63" s="348" t="s">
        <v>49</v>
      </c>
      <c r="B63" s="348" t="s">
        <v>29</v>
      </c>
      <c r="C63" s="334">
        <v>0</v>
      </c>
      <c r="D63" s="334">
        <v>0</v>
      </c>
      <c r="E63" s="334">
        <v>3</v>
      </c>
      <c r="F63" s="334">
        <v>35408.649646905498</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16</v>
      </c>
      <c r="F68" s="334">
        <v>1339385.8500000001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55531470</v>
      </c>
      <c r="E73" s="476">
        <v>62245807.7340042</v>
      </c>
    </row>
    <row r="74" spans="1:6">
      <c r="A74" s="348" t="s">
        <v>64</v>
      </c>
      <c r="B74" s="348" t="s">
        <v>657</v>
      </c>
      <c r="C74" s="1213" t="s">
        <v>659</v>
      </c>
      <c r="D74" s="476">
        <v>5821682.0136965644</v>
      </c>
      <c r="E74" s="476">
        <v>6307615.6439719833</v>
      </c>
    </row>
    <row r="75" spans="1:6">
      <c r="A75" s="348" t="s">
        <v>65</v>
      </c>
      <c r="B75" s="348" t="s">
        <v>656</v>
      </c>
      <c r="C75" s="1213" t="s">
        <v>660</v>
      </c>
      <c r="D75" s="476">
        <v>24968821</v>
      </c>
      <c r="E75" s="476">
        <v>29896859.918653741</v>
      </c>
    </row>
    <row r="76" spans="1:6">
      <c r="A76" s="348" t="s">
        <v>65</v>
      </c>
      <c r="B76" s="348" t="s">
        <v>657</v>
      </c>
      <c r="C76" s="1213" t="s">
        <v>661</v>
      </c>
      <c r="D76" s="476">
        <v>858470.01369656459</v>
      </c>
      <c r="E76" s="476">
        <v>958472.30672990764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765017.97260687081</v>
      </c>
      <c r="C83" s="476">
        <v>766059.04887006385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2846.1674251495847</v>
      </c>
    </row>
    <row r="92" spans="1:6">
      <c r="A92" s="341" t="s">
        <v>69</v>
      </c>
      <c r="B92" s="342">
        <v>1443.6487485352104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921</v>
      </c>
    </row>
    <row r="98" spans="1:6">
      <c r="A98" s="348" t="s">
        <v>72</v>
      </c>
      <c r="B98" s="334">
        <v>2</v>
      </c>
    </row>
    <row r="99" spans="1:6">
      <c r="A99" s="348" t="s">
        <v>73</v>
      </c>
      <c r="B99" s="334">
        <v>104</v>
      </c>
    </row>
    <row r="100" spans="1:6">
      <c r="A100" s="348" t="s">
        <v>74</v>
      </c>
      <c r="B100" s="334">
        <v>359</v>
      </c>
    </row>
    <row r="101" spans="1:6">
      <c r="A101" s="348" t="s">
        <v>75</v>
      </c>
      <c r="B101" s="334">
        <v>35</v>
      </c>
    </row>
    <row r="102" spans="1:6">
      <c r="A102" s="348" t="s">
        <v>76</v>
      </c>
      <c r="B102" s="334">
        <v>49</v>
      </c>
    </row>
    <row r="103" spans="1:6">
      <c r="A103" s="348" t="s">
        <v>77</v>
      </c>
      <c r="B103" s="334">
        <v>118</v>
      </c>
    </row>
    <row r="104" spans="1:6">
      <c r="A104" s="348" t="s">
        <v>78</v>
      </c>
      <c r="B104" s="334">
        <v>2384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1</v>
      </c>
    </row>
    <row r="131" spans="1:6">
      <c r="A131" s="348" t="s">
        <v>296</v>
      </c>
      <c r="B131" s="334">
        <v>3</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40289.097976329918</v>
      </c>
      <c r="C3" s="43" t="s">
        <v>170</v>
      </c>
      <c r="D3" s="43"/>
      <c r="E3" s="154"/>
      <c r="F3" s="43"/>
      <c r="G3" s="43"/>
      <c r="H3" s="43"/>
      <c r="I3" s="43"/>
      <c r="J3" s="43"/>
      <c r="K3" s="96"/>
    </row>
    <row r="4" spans="1:11">
      <c r="A4" s="383" t="s">
        <v>171</v>
      </c>
      <c r="B4" s="49">
        <f>IF(ISERROR('SEAP template'!B69),0,'SEAP template'!B69)</f>
        <v>4289.8161736847951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0.19746883593816558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1137.5409999999999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1137.5409999999999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0.19746883593816558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224.62889710193681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18229.760370318669</v>
      </c>
      <c r="C5" s="17">
        <f>IF(ISERROR('Eigen informatie GS &amp; warmtenet'!B57),0,'Eigen informatie GS &amp; warmtenet'!B57)</f>
        <v>0</v>
      </c>
      <c r="D5" s="30">
        <f>(SUM(HH_hh_gas_kWh,HH_rest_gas_kWh)/1000)*0.902</f>
        <v>36091.724647000003</v>
      </c>
      <c r="E5" s="17">
        <f>B46*B57</f>
        <v>5042.1345230435154</v>
      </c>
      <c r="F5" s="17">
        <f>B51*B62</f>
        <v>29401.327138744444</v>
      </c>
      <c r="G5" s="18"/>
      <c r="H5" s="17"/>
      <c r="I5" s="17"/>
      <c r="J5" s="17">
        <f>B50*B61+C50*C61</f>
        <v>0</v>
      </c>
      <c r="K5" s="17"/>
      <c r="L5" s="17"/>
      <c r="M5" s="17"/>
      <c r="N5" s="17">
        <f>B48*B59+C48*C59</f>
        <v>5782.8483239765983</v>
      </c>
      <c r="O5" s="17">
        <f>B69*B70*B71</f>
        <v>198.54333333333332</v>
      </c>
      <c r="P5" s="17">
        <f>B77*B78*B79/1000-B77*B78*B79/1000/B80</f>
        <v>1010.5333333333333</v>
      </c>
    </row>
    <row r="6" spans="1:16">
      <c r="A6" s="16" t="s">
        <v>621</v>
      </c>
      <c r="B6" s="843">
        <f>kWh_PV_kleiner_dan_10kW</f>
        <v>2846.1674251495847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21075.927795468255</v>
      </c>
      <c r="C8" s="21">
        <f>C5</f>
        <v>0</v>
      </c>
      <c r="D8" s="21">
        <f>D5</f>
        <v>36091.724647000003</v>
      </c>
      <c r="E8" s="21">
        <f>E5</f>
        <v>5042.1345230435154</v>
      </c>
      <c r="F8" s="21">
        <f>F5</f>
        <v>29401.327138744444</v>
      </c>
      <c r="G8" s="21"/>
      <c r="H8" s="21"/>
      <c r="I8" s="21"/>
      <c r="J8" s="21">
        <f>J5</f>
        <v>0</v>
      </c>
      <c r="K8" s="21"/>
      <c r="L8" s="21">
        <f>L5</f>
        <v>0</v>
      </c>
      <c r="M8" s="21">
        <f>M5</f>
        <v>0</v>
      </c>
      <c r="N8" s="21">
        <f>N5</f>
        <v>5782.8483239765983</v>
      </c>
      <c r="O8" s="21">
        <f>O5</f>
        <v>198.54333333333332</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0.19746883593816558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4161.8389280879446</v>
      </c>
      <c r="C12" s="23">
        <f ca="1">C10*C8</f>
        <v>0</v>
      </c>
      <c r="D12" s="23">
        <f>D8*D10</f>
        <v>7290.5283786940008</v>
      </c>
      <c r="E12" s="23">
        <f>E10*E8</f>
        <v>1144.564536730878</v>
      </c>
      <c r="F12" s="23">
        <f>F10*F8</f>
        <v>7850.1543460447665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921</v>
      </c>
      <c r="C18" s="166" t="s">
        <v>111</v>
      </c>
      <c r="D18" s="228"/>
      <c r="E18" s="15"/>
    </row>
    <row r="19" spans="1:7">
      <c r="A19" s="171" t="s">
        <v>72</v>
      </c>
      <c r="B19" s="37">
        <f>aantalw2001_ander</f>
        <v>2</v>
      </c>
      <c r="C19" s="166" t="s">
        <v>111</v>
      </c>
      <c r="D19" s="229"/>
      <c r="E19" s="15"/>
    </row>
    <row r="20" spans="1:7">
      <c r="A20" s="171" t="s">
        <v>73</v>
      </c>
      <c r="B20" s="37">
        <f>aantalw2001_propaan</f>
        <v>104</v>
      </c>
      <c r="C20" s="167">
        <f>IF(ISERROR(B20/SUM($B$20,$B$21,$B$22)*100),0,B20/SUM($B$20,$B$21,$B$22)*100)</f>
        <v>20.883534136546185</v>
      </c>
      <c r="D20" s="229"/>
      <c r="E20" s="15"/>
    </row>
    <row r="21" spans="1:7">
      <c r="A21" s="171" t="s">
        <v>74</v>
      </c>
      <c r="B21" s="37">
        <f>aantalw2001_elektriciteit</f>
        <v>359</v>
      </c>
      <c r="C21" s="167">
        <f>IF(ISERROR(B21/SUM($B$20,$B$21,$B$22)*100),0,B21/SUM($B$20,$B$21,$B$22)*100)</f>
        <v>72.088353413654616</v>
      </c>
      <c r="D21" s="229"/>
      <c r="E21" s="15"/>
    </row>
    <row r="22" spans="1:7">
      <c r="A22" s="171" t="s">
        <v>75</v>
      </c>
      <c r="B22" s="37">
        <f>aantalw2001_hout</f>
        <v>35</v>
      </c>
      <c r="C22" s="167">
        <f>IF(ISERROR(B22/SUM($B$20,$B$21,$B$22)*100),0,B22/SUM($B$20,$B$21,$B$22)*100)</f>
        <v>7.0281124497991971</v>
      </c>
      <c r="D22" s="229"/>
      <c r="E22" s="15"/>
    </row>
    <row r="23" spans="1:7">
      <c r="A23" s="171" t="s">
        <v>76</v>
      </c>
      <c r="B23" s="37">
        <f>aantalw2001_niet_gespec</f>
        <v>49</v>
      </c>
      <c r="C23" s="166" t="s">
        <v>111</v>
      </c>
      <c r="D23" s="228"/>
      <c r="E23" s="15"/>
    </row>
    <row r="24" spans="1:7">
      <c r="A24" s="171" t="s">
        <v>77</v>
      </c>
      <c r="B24" s="37">
        <f>aantalw2001_steenkool</f>
        <v>118</v>
      </c>
      <c r="C24" s="166" t="s">
        <v>111</v>
      </c>
      <c r="D24" s="229"/>
      <c r="E24" s="15"/>
    </row>
    <row r="25" spans="1:7">
      <c r="A25" s="171" t="s">
        <v>78</v>
      </c>
      <c r="B25" s="37">
        <f>aantalw2001_stookolie</f>
        <v>2384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4637</v>
      </c>
      <c r="C28" s="36"/>
      <c r="D28" s="228"/>
    </row>
    <row r="29" spans="1:7" s="15" customFormat="1">
      <c r="A29" s="230" t="s">
        <v>795</v>
      </c>
      <c r="B29" s="37">
        <f>SUM(HH_hh_gas_aantal,HH_rest_gas_aantal)</f>
        <v>2308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2308</v>
      </c>
      <c r="C32" s="167">
        <f>IF(ISERROR(B32/SUM($B$32,$B$34,$B$35,$B$36,$B$38,$B$39)*100),0,B32/SUM($B$32,$B$34,$B$35,$B$36,$B$38,$B$39)*100)</f>
        <v>50.349040139616051</v>
      </c>
      <c r="D32" s="233"/>
      <c r="G32" s="15"/>
    </row>
    <row r="33" spans="1:7">
      <c r="A33" s="171" t="s">
        <v>72</v>
      </c>
      <c r="B33" s="34" t="s">
        <v>111</v>
      </c>
      <c r="C33" s="167"/>
      <c r="D33" s="233"/>
      <c r="G33" s="15"/>
    </row>
    <row r="34" spans="1:7">
      <c r="A34" s="171" t="s">
        <v>73</v>
      </c>
      <c r="B34" s="33">
        <f>IF((($B$28-$B$32-$B$39-$B$77-$B$38)*C20/100)&lt;0,0,($B$28-$B$32-$B$39-$B$77-$B$38)*C20/100)</f>
        <v>238.13493975903614</v>
      </c>
      <c r="C34" s="167">
        <f>IF(ISERROR(B34/SUM($B$32,$B$34,$B$35,$B$36,$B$38,$B$39)*100),0,B34/SUM($B$32,$B$34,$B$35,$B$36,$B$38,$B$39)*100)</f>
        <v>5.1949157888096886</v>
      </c>
      <c r="D34" s="233"/>
      <c r="G34" s="15"/>
    </row>
    <row r="35" spans="1:7">
      <c r="A35" s="171" t="s">
        <v>74</v>
      </c>
      <c r="B35" s="33">
        <f>IF((($B$28-$B$32-$B$39-$B$77-$B$38)*C21/100)&lt;0,0,($B$28-$B$32-$B$39-$B$77-$B$38)*C21/100)</f>
        <v>822.02349397590353</v>
      </c>
      <c r="C35" s="167">
        <f>IF(ISERROR(B35/SUM($B$32,$B$34,$B$35,$B$36,$B$38,$B$39)*100),0,B35/SUM($B$32,$B$34,$B$35,$B$36,$B$38,$B$39)*100)</f>
        <v>17.932449694064211</v>
      </c>
      <c r="D35" s="233"/>
      <c r="G35" s="15"/>
    </row>
    <row r="36" spans="1:7">
      <c r="A36" s="171" t="s">
        <v>75</v>
      </c>
      <c r="B36" s="33">
        <f>IF((($B$28-$B$32-$B$39-$B$77-$B$38)*C22/100)&lt;0,0,($B$28-$B$32-$B$39-$B$77-$B$38)*C22/100)</f>
        <v>80.141566265060248</v>
      </c>
      <c r="C36" s="167">
        <f>IF(ISERROR(B36/SUM($B$32,$B$34,$B$35,$B$36,$B$38,$B$39)*100),0,B36/SUM($B$32,$B$34,$B$35,$B$36,$B$38,$B$39)*100)</f>
        <v>1.7482889673878763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1135.7</v>
      </c>
      <c r="C39" s="167">
        <f>IF(ISERROR(B39/SUM($B$32,$B$34,$B$35,$B$36,$B$38,$B$39)*100),0,B39/SUM($B$32,$B$34,$B$35,$B$36,$B$38,$B$39)*100)</f>
        <v>24.775305410122165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2308</v>
      </c>
      <c r="C44" s="34" t="s">
        <v>111</v>
      </c>
      <c r="D44" s="174"/>
    </row>
    <row r="45" spans="1:7">
      <c r="A45" s="171" t="s">
        <v>72</v>
      </c>
      <c r="B45" s="33" t="str">
        <f t="shared" si="0"/>
        <v>-</v>
      </c>
      <c r="C45" s="34" t="s">
        <v>111</v>
      </c>
      <c r="D45" s="174"/>
    </row>
    <row r="46" spans="1:7">
      <c r="A46" s="171" t="s">
        <v>73</v>
      </c>
      <c r="B46" s="33">
        <f t="shared" si="0"/>
        <v>238.13493975903614</v>
      </c>
      <c r="C46" s="34" t="s">
        <v>111</v>
      </c>
      <c r="D46" s="174"/>
    </row>
    <row r="47" spans="1:7">
      <c r="A47" s="171" t="s">
        <v>74</v>
      </c>
      <c r="B47" s="33">
        <f t="shared" si="0"/>
        <v>822.02349397590353</v>
      </c>
      <c r="C47" s="34" t="s">
        <v>111</v>
      </c>
      <c r="D47" s="174"/>
    </row>
    <row r="48" spans="1:7">
      <c r="A48" s="171" t="s">
        <v>75</v>
      </c>
      <c r="B48" s="33">
        <f t="shared" si="0"/>
        <v>80.141566265060248</v>
      </c>
      <c r="C48" s="33">
        <f>B48*10</f>
        <v>801.41566265060248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1135.7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12201.850049646906</v>
      </c>
      <c r="C5" s="17">
        <f>IF(ISERROR('Eigen informatie GS &amp; warmtenet'!B58),0,'Eigen informatie GS &amp; warmtenet'!B58)</f>
        <v>0</v>
      </c>
      <c r="D5" s="30">
        <f>SUM(D6:D12)</f>
        <v>8286.0572123999991</v>
      </c>
      <c r="E5" s="17">
        <f>SUM(E6:E12)</f>
        <v>249.39556918695112</v>
      </c>
      <c r="F5" s="17">
        <f>SUM(F6:F12)</f>
        <v>2234.0109799652382</v>
      </c>
      <c r="G5" s="18"/>
      <c r="H5" s="17"/>
      <c r="I5" s="17"/>
      <c r="J5" s="17">
        <f>SUM(J6:J12)</f>
        <v>3.1610872269028929E-2</v>
      </c>
      <c r="K5" s="17"/>
      <c r="L5" s="17"/>
      <c r="M5" s="17"/>
      <c r="N5" s="17">
        <f>SUM(N6:N12)</f>
        <v>1256.1170215953236</v>
      </c>
      <c r="O5" s="17">
        <f>B38*B39*B40</f>
        <v>1.5633333333333335</v>
      </c>
      <c r="P5" s="17">
        <f>B46*B47*B48/1000-B46*B47*B48/1000/B49</f>
        <v>57.2</v>
      </c>
      <c r="R5" s="32"/>
    </row>
    <row r="6" spans="1:18">
      <c r="A6" s="32" t="s">
        <v>54</v>
      </c>
      <c r="B6" s="37">
        <f>B26</f>
        <v>2615.0414000000001</v>
      </c>
      <c r="C6" s="33"/>
      <c r="D6" s="37">
        <f>IF(ISERROR(TER_kantoor_gas_kWh/1000),0,TER_kantoor_gas_kWh/1000)*0.902</f>
        <v>3879.5416879999998</v>
      </c>
      <c r="E6" s="33">
        <f>$C$26*'E Balans VL '!I12/100/3.6*1000000</f>
        <v>1.6390209746056209E-2</v>
      </c>
      <c r="F6" s="33">
        <f>$C$26*('E Balans VL '!L12+'E Balans VL '!N12)/100/3.6*1000000</f>
        <v>392.96765119420621</v>
      </c>
      <c r="G6" s="34"/>
      <c r="H6" s="33"/>
      <c r="I6" s="33"/>
      <c r="J6" s="33">
        <f>$C$26*('E Balans VL '!D12+'E Balans VL '!E12)/100/3.6*1000000</f>
        <v>0</v>
      </c>
      <c r="K6" s="33"/>
      <c r="L6" s="33"/>
      <c r="M6" s="33"/>
      <c r="N6" s="33">
        <f>$C$26*'E Balans VL '!Y12/100/3.6*1000000</f>
        <v>2.5008993766621748</v>
      </c>
      <c r="O6" s="33"/>
      <c r="P6" s="33"/>
      <c r="R6" s="32"/>
    </row>
    <row r="7" spans="1:18">
      <c r="A7" s="32" t="s">
        <v>53</v>
      </c>
      <c r="B7" s="37">
        <f t="shared" ref="B7:B12" si="0">B27</f>
        <v>1246.3900000000001</v>
      </c>
      <c r="C7" s="33"/>
      <c r="D7" s="37">
        <f>IF(ISERROR(TER_horeca_gas_kWh/1000),0,TER_horeca_gas_kWh/1000)*0.902</f>
        <v>418.89691800000003</v>
      </c>
      <c r="E7" s="33">
        <f>$C$27*'E Balans VL '!I9/100/3.6*1000000</f>
        <v>17.848097191058159</v>
      </c>
      <c r="F7" s="33">
        <f>$C$27*('E Balans VL '!L9+'E Balans VL '!N9)/100/3.6*1000000</f>
        <v>157.834081525903</v>
      </c>
      <c r="G7" s="34"/>
      <c r="H7" s="33"/>
      <c r="I7" s="33"/>
      <c r="J7" s="33">
        <f>$C$27*('E Balans VL '!D9+'E Balans VL '!E9)/100/3.6*1000000</f>
        <v>0</v>
      </c>
      <c r="K7" s="33"/>
      <c r="L7" s="33"/>
      <c r="M7" s="33"/>
      <c r="N7" s="33">
        <f>$C$27*'E Balans VL '!Y9/100/3.6*1000000</f>
        <v>0.35830964445942048</v>
      </c>
      <c r="O7" s="33"/>
      <c r="P7" s="33"/>
      <c r="R7" s="32"/>
    </row>
    <row r="8" spans="1:18">
      <c r="A8" s="6" t="s">
        <v>52</v>
      </c>
      <c r="B8" s="37">
        <f t="shared" si="0"/>
        <v>6296.1589999999997</v>
      </c>
      <c r="C8" s="33"/>
      <c r="D8" s="37">
        <f>IF(ISERROR(TER_handel_gas_kWh/1000),0,TER_handel_gas_kWh/1000)*0.902</f>
        <v>1439.1879039999999</v>
      </c>
      <c r="E8" s="33">
        <f>$C$28*'E Balans VL '!I13/100/3.6*1000000</f>
        <v>228.36091052245638</v>
      </c>
      <c r="F8" s="33">
        <f>$C$28*('E Balans VL '!L13+'E Balans VL '!N13)/100/3.6*1000000</f>
        <v>1212.7039760631428</v>
      </c>
      <c r="G8" s="34"/>
      <c r="H8" s="33"/>
      <c r="I8" s="33"/>
      <c r="J8" s="33">
        <f>$C$28*('E Balans VL '!D13+'E Balans VL '!E13)/100/3.6*1000000</f>
        <v>0</v>
      </c>
      <c r="K8" s="33"/>
      <c r="L8" s="33"/>
      <c r="M8" s="33"/>
      <c r="N8" s="33">
        <f>$C$28*'E Balans VL '!Y13/100/3.6*1000000</f>
        <v>8.721628896576636</v>
      </c>
      <c r="O8" s="33"/>
      <c r="P8" s="33"/>
      <c r="R8" s="32"/>
    </row>
    <row r="9" spans="1:18">
      <c r="A9" s="32" t="s">
        <v>51</v>
      </c>
      <c r="B9" s="37">
        <f t="shared" si="0"/>
        <v>492.3</v>
      </c>
      <c r="C9" s="33"/>
      <c r="D9" s="37">
        <f>IF(ISERROR(TER_gezond_gas_kWh/1000),0,TER_gezond_gas_kWh/1000)*0.902</f>
        <v>427.83050639999999</v>
      </c>
      <c r="E9" s="33">
        <f>$C$29*'E Balans VL '!I10/100/3.6*1000000</f>
        <v>3.0822840584384652E-2</v>
      </c>
      <c r="F9" s="33">
        <f>$C$29*('E Balans VL '!L10+'E Balans VL '!N10)/100/3.6*1000000</f>
        <v>73.13266391075129</v>
      </c>
      <c r="G9" s="34"/>
      <c r="H9" s="33"/>
      <c r="I9" s="33"/>
      <c r="J9" s="33">
        <f>$C$29*('E Balans VL '!D10+'E Balans VL '!E10)/100/3.6*1000000</f>
        <v>0</v>
      </c>
      <c r="K9" s="33"/>
      <c r="L9" s="33"/>
      <c r="M9" s="33"/>
      <c r="N9" s="33">
        <f>$C$29*'E Balans VL '!Y10/100/3.6*1000000</f>
        <v>7.6149439028894452</v>
      </c>
      <c r="O9" s="33"/>
      <c r="P9" s="33"/>
      <c r="R9" s="32"/>
    </row>
    <row r="10" spans="1:18">
      <c r="A10" s="32" t="s">
        <v>50</v>
      </c>
      <c r="B10" s="37">
        <f t="shared" si="0"/>
        <v>1452.364</v>
      </c>
      <c r="C10" s="33"/>
      <c r="D10" s="37">
        <f>IF(ISERROR(TER_ander_gas_kWh/1000),0,TER_ander_gas_kWh/1000)*0.902</f>
        <v>573.394184</v>
      </c>
      <c r="E10" s="33">
        <f>$C$30*'E Balans VL '!I14/100/3.6*1000000</f>
        <v>1.7311659892799827</v>
      </c>
      <c r="F10" s="33">
        <f>$C$30*('E Balans VL '!L14+'E Balans VL '!N14)/100/3.6*1000000</f>
        <v>380.00298943214239</v>
      </c>
      <c r="G10" s="34"/>
      <c r="H10" s="33"/>
      <c r="I10" s="33"/>
      <c r="J10" s="33">
        <f>$C$30*('E Balans VL '!D14+'E Balans VL '!E14)/100/3.6*1000000</f>
        <v>3.1525129330317918E-2</v>
      </c>
      <c r="K10" s="33"/>
      <c r="L10" s="33"/>
      <c r="M10" s="33"/>
      <c r="N10" s="33">
        <f>$C$30*'E Balans VL '!Y14/100/3.6*1000000</f>
        <v>1233.3119699531649</v>
      </c>
      <c r="O10" s="33"/>
      <c r="P10" s="33"/>
      <c r="R10" s="32"/>
    </row>
    <row r="11" spans="1:18">
      <c r="A11" s="32" t="s">
        <v>55</v>
      </c>
      <c r="B11" s="37">
        <f t="shared" si="0"/>
        <v>64.186999999999998</v>
      </c>
      <c r="C11" s="33"/>
      <c r="D11" s="37">
        <f>IF(ISERROR(TER_onderwijs_gas_kWh/1000),0,TER_onderwijs_gas_kWh/1000)*0.902</f>
        <v>1547.2060120000001</v>
      </c>
      <c r="E11" s="33">
        <f>$C$31*'E Balans VL '!I11/100/3.6*1000000</f>
        <v>0.96847844700584262</v>
      </c>
      <c r="F11" s="33">
        <f>$C$31*('E Balans VL '!L11+'E Balans VL '!N11)/100/3.6*1000000</f>
        <v>11.246587817830838</v>
      </c>
      <c r="G11" s="34"/>
      <c r="H11" s="33"/>
      <c r="I11" s="33"/>
      <c r="J11" s="33">
        <f>$C$31*('E Balans VL '!D11+'E Balans VL '!E11)/100/3.6*1000000</f>
        <v>0</v>
      </c>
      <c r="K11" s="33"/>
      <c r="L11" s="33"/>
      <c r="M11" s="33"/>
      <c r="N11" s="33">
        <f>$C$31*'E Balans VL '!Y11/100/3.6*1000000</f>
        <v>0.1806270976815674</v>
      </c>
      <c r="O11" s="33"/>
      <c r="P11" s="33"/>
      <c r="R11" s="32"/>
    </row>
    <row r="12" spans="1:18">
      <c r="A12" s="32" t="s">
        <v>260</v>
      </c>
      <c r="B12" s="37">
        <f t="shared" si="0"/>
        <v>35.408649646905495</v>
      </c>
      <c r="C12" s="33"/>
      <c r="D12" s="37">
        <f>IF(ISERROR(TER_rest_gas_kWh/1000),0,TER_rest_gas_kWh/1000)*0.902</f>
        <v>0</v>
      </c>
      <c r="E12" s="33">
        <f>$C$32*'E Balans VL '!I8/100/3.6*1000000</f>
        <v>0.43970398682028161</v>
      </c>
      <c r="F12" s="33">
        <f>$C$32*('E Balans VL '!L8+'E Balans VL '!N8)/100/3.6*1000000</f>
        <v>6.1230300212620241</v>
      </c>
      <c r="G12" s="34"/>
      <c r="H12" s="33"/>
      <c r="I12" s="33"/>
      <c r="J12" s="33">
        <f>$C$32*('E Balans VL '!D8+'E Balans VL '!E8)/100/3.6*1000000</f>
        <v>8.5742938711010555E-5</v>
      </c>
      <c r="K12" s="33"/>
      <c r="L12" s="33"/>
      <c r="M12" s="33"/>
      <c r="N12" s="33">
        <f>$C$32*'E Balans VL '!Y8/100/3.6*1000000</f>
        <v>3.4286427238895576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12201.850049646906</v>
      </c>
      <c r="C16" s="21">
        <f t="shared" ca="1" si="1"/>
        <v>0</v>
      </c>
      <c r="D16" s="21">
        <f t="shared" ca="1" si="1"/>
        <v>8286.0572123999991</v>
      </c>
      <c r="E16" s="21">
        <f t="shared" si="1"/>
        <v>249.39556918695112</v>
      </c>
      <c r="F16" s="21">
        <f t="shared" ca="1" si="1"/>
        <v>2234.0109799652382</v>
      </c>
      <c r="G16" s="21">
        <f t="shared" si="1"/>
        <v>0</v>
      </c>
      <c r="H16" s="21">
        <f t="shared" si="1"/>
        <v>0</v>
      </c>
      <c r="I16" s="21">
        <f t="shared" si="1"/>
        <v>0</v>
      </c>
      <c r="J16" s="21">
        <f t="shared" si="1"/>
        <v>3.1610872269028929E-2</v>
      </c>
      <c r="K16" s="21">
        <f t="shared" si="1"/>
        <v>0</v>
      </c>
      <c r="L16" s="21">
        <f t="shared" ca="1" si="1"/>
        <v>0</v>
      </c>
      <c r="M16" s="21">
        <f t="shared" si="1"/>
        <v>0</v>
      </c>
      <c r="N16" s="21">
        <f t="shared" ca="1" si="1"/>
        <v>1256.1170215953236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0.19746883593816558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2409.4851255958224</v>
      </c>
      <c r="C20" s="23">
        <f t="shared" ref="C20:P20" ca="1" si="2">C16*C18</f>
        <v>0</v>
      </c>
      <c r="D20" s="23">
        <f t="shared" ca="1" si="2"/>
        <v>1673.7835569048</v>
      </c>
      <c r="E20" s="23">
        <f t="shared" si="2"/>
        <v>56.612794205437908</v>
      </c>
      <c r="F20" s="23">
        <f t="shared" ca="1" si="2"/>
        <v>596.48093165071862</v>
      </c>
      <c r="G20" s="23">
        <f t="shared" si="2"/>
        <v>0</v>
      </c>
      <c r="H20" s="23">
        <f t="shared" si="2"/>
        <v>0</v>
      </c>
      <c r="I20" s="23">
        <f t="shared" si="2"/>
        <v>0</v>
      </c>
      <c r="J20" s="23">
        <f t="shared" si="2"/>
        <v>1.119024878323624E-2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2615.0414000000001</v>
      </c>
      <c r="C26" s="39">
        <f>IF(ISERROR(B26*3.6/1000000/'E Balans VL '!Z12*100),0,B26*3.6/1000000/'E Balans VL '!Z12*100)</f>
        <v>5.5277832635806816E-2</v>
      </c>
      <c r="D26" s="237" t="s">
        <v>754</v>
      </c>
      <c r="F26" s="6"/>
    </row>
    <row r="27" spans="1:18">
      <c r="A27" s="231" t="s">
        <v>53</v>
      </c>
      <c r="B27" s="33">
        <f>IF(ISERROR(TER_horeca_ele_kWh/1000),0,TER_horeca_ele_kWh/1000)</f>
        <v>1246.3900000000001</v>
      </c>
      <c r="C27" s="39">
        <f>IF(ISERROR(B27*3.6/1000000/'E Balans VL '!Z9*100),0,B27*3.6/1000000/'E Balans VL '!Z9*100)</f>
        <v>9.8252459146730725E-2</v>
      </c>
      <c r="D27" s="237" t="s">
        <v>754</v>
      </c>
      <c r="F27" s="6"/>
    </row>
    <row r="28" spans="1:18">
      <c r="A28" s="171" t="s">
        <v>52</v>
      </c>
      <c r="B28" s="33">
        <f>IF(ISERROR(TER_handel_ele_kWh/1000),0,TER_handel_ele_kWh/1000)</f>
        <v>6296.1589999999997</v>
      </c>
      <c r="C28" s="39">
        <f>IF(ISERROR(B28*3.6/1000000/'E Balans VL '!Z13*100),0,B28*3.6/1000000/'E Balans VL '!Z13*100)</f>
        <v>0.18273997351299254</v>
      </c>
      <c r="D28" s="237" t="s">
        <v>754</v>
      </c>
      <c r="F28" s="6"/>
    </row>
    <row r="29" spans="1:18">
      <c r="A29" s="231" t="s">
        <v>51</v>
      </c>
      <c r="B29" s="33">
        <f>IF(ISERROR(TER_gezond_ele_kWh/1000),0,TER_gezond_ele_kWh/1000)</f>
        <v>492.3</v>
      </c>
      <c r="C29" s="39">
        <f>IF(ISERROR(B29*3.6/1000000/'E Balans VL '!Z10*100),0,B29*3.6/1000000/'E Balans VL '!Z10*100)</f>
        <v>5.1847273779380532E-2</v>
      </c>
      <c r="D29" s="237" t="s">
        <v>754</v>
      </c>
      <c r="F29" s="6"/>
    </row>
    <row r="30" spans="1:18">
      <c r="A30" s="231" t="s">
        <v>50</v>
      </c>
      <c r="B30" s="33">
        <f>IF(ISERROR(TER_ander_ele_kWh/1000),0,TER_ander_ele_kWh/1000)</f>
        <v>1452.364</v>
      </c>
      <c r="C30" s="39">
        <f>IF(ISERROR(B30*3.6/1000000/'E Balans VL '!Z14*100),0,B30*3.6/1000000/'E Balans VL '!Z14*100)</f>
        <v>0.10712668409189163</v>
      </c>
      <c r="D30" s="237" t="s">
        <v>754</v>
      </c>
      <c r="F30" s="6"/>
    </row>
    <row r="31" spans="1:18">
      <c r="A31" s="231" t="s">
        <v>55</v>
      </c>
      <c r="B31" s="33">
        <f>IF(ISERROR(TER_onderwijs_ele_kWh/1000),0,TER_onderwijs_ele_kWh/1000)</f>
        <v>64.186999999999998</v>
      </c>
      <c r="C31" s="39">
        <f>IF(ISERROR(B31*3.6/1000000/'E Balans VL '!Z11*100),0,B31*3.6/1000000/'E Balans VL '!Z11*100)</f>
        <v>1.5940638796150527E-2</v>
      </c>
      <c r="D31" s="237" t="s">
        <v>754</v>
      </c>
    </row>
    <row r="32" spans="1:18">
      <c r="A32" s="231" t="s">
        <v>260</v>
      </c>
      <c r="B32" s="33">
        <f>IF(ISERROR(TER_rest_ele_kWh/1000),0,TER_rest_ele_kWh/1000)</f>
        <v>35.408649646905495</v>
      </c>
      <c r="C32" s="39">
        <f>IF(ISERROR(B32*3.6/1000000/'E Balans VL '!Z8*100),0,B32*3.6/1000000/'E Balans VL '!Z8*100)</f>
        <v>2.913661863893208E-4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4890.89905</v>
      </c>
      <c r="C5" s="17">
        <f>IF(ISERROR('Eigen informatie GS &amp; warmtenet'!B59),0,'Eigen informatie GS &amp; warmtenet'!B59)</f>
        <v>0</v>
      </c>
      <c r="D5" s="30">
        <f>SUM(D6:D15)</f>
        <v>1121.1221384</v>
      </c>
      <c r="E5" s="17">
        <f>SUM(E6:E15)</f>
        <v>186.05434646071561</v>
      </c>
      <c r="F5" s="17">
        <f>SUM(F6:F15)</f>
        <v>674.27979613942557</v>
      </c>
      <c r="G5" s="18"/>
      <c r="H5" s="17"/>
      <c r="I5" s="17"/>
      <c r="J5" s="17">
        <f>SUM(J6:J15)</f>
        <v>0.39991057938097596</v>
      </c>
      <c r="K5" s="17"/>
      <c r="L5" s="17"/>
      <c r="M5" s="17"/>
      <c r="N5" s="17">
        <f>SUM(N6:N15)</f>
        <v>7763.8535104415232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998.89200000000005</v>
      </c>
      <c r="C8" s="33"/>
      <c r="D8" s="37">
        <f>IF( ISERROR(IND_metaal_Gas_kWH/1000),0,IND_metaal_Gas_kWH/1000)*0.902</f>
        <v>347.09681599999999</v>
      </c>
      <c r="E8" s="33">
        <f>C30*'E Balans VL '!I18/100/3.6*1000000</f>
        <v>9.1838472009317051</v>
      </c>
      <c r="F8" s="33">
        <f>C30*'E Balans VL '!L18/100/3.6*1000000+C30*'E Balans VL '!N18/100/3.6*1000000</f>
        <v>93.662813118946545</v>
      </c>
      <c r="G8" s="34"/>
      <c r="H8" s="33"/>
      <c r="I8" s="33"/>
      <c r="J8" s="40">
        <f>C30*'E Balans VL '!D18/100/3.6*1000000+C30*'E Balans VL '!E18/100/3.6*1000000</f>
        <v>0</v>
      </c>
      <c r="K8" s="33"/>
      <c r="L8" s="33"/>
      <c r="M8" s="33"/>
      <c r="N8" s="33">
        <f>C30*'E Balans VL '!Y18/100/3.6*1000000</f>
        <v>14.250845118544335</v>
      </c>
      <c r="O8" s="33"/>
      <c r="P8" s="33"/>
      <c r="R8" s="32"/>
    </row>
    <row r="9" spans="1:18">
      <c r="A9" s="6" t="s">
        <v>33</v>
      </c>
      <c r="B9" s="37">
        <f t="shared" si="0"/>
        <v>587.26305000000002</v>
      </c>
      <c r="C9" s="33"/>
      <c r="D9" s="37">
        <f>IF( ISERROR(IND_andere_gas_kWh/1000),0,IND_andere_gas_kWh/1000)*0.902</f>
        <v>478.71052239999995</v>
      </c>
      <c r="E9" s="33">
        <f>C31*'E Balans VL '!I19/100/3.6*1000000</f>
        <v>171.66842217810864</v>
      </c>
      <c r="F9" s="33">
        <f>C31*'E Balans VL '!L19/100/3.6*1000000+C31*'E Balans VL '!N19/100/3.6*1000000</f>
        <v>471.91031240339686</v>
      </c>
      <c r="G9" s="34"/>
      <c r="H9" s="33"/>
      <c r="I9" s="33"/>
      <c r="J9" s="40">
        <f>C31*'E Balans VL '!D19/100/3.6*1000000+C31*'E Balans VL '!E19/100/3.6*1000000</f>
        <v>0</v>
      </c>
      <c r="K9" s="33"/>
      <c r="L9" s="33"/>
      <c r="M9" s="33"/>
      <c r="N9" s="33">
        <f>C31*'E Balans VL '!Y19/100/3.6*1000000</f>
        <v>194.04081952416161</v>
      </c>
      <c r="O9" s="33"/>
      <c r="P9" s="33"/>
      <c r="R9" s="32"/>
    </row>
    <row r="10" spans="1:18">
      <c r="A10" s="6" t="s">
        <v>41</v>
      </c>
      <c r="B10" s="37">
        <f t="shared" si="0"/>
        <v>716.803</v>
      </c>
      <c r="C10" s="33"/>
      <c r="D10" s="37">
        <f>IF( ISERROR(IND_voed_gas_kWh/1000),0,IND_voed_gas_kWh/1000)*0.902</f>
        <v>0</v>
      </c>
      <c r="E10" s="33">
        <f>C32*'E Balans VL '!I20/100/3.6*1000000</f>
        <v>1.5164078606621498</v>
      </c>
      <c r="F10" s="33">
        <f>C32*'E Balans VL '!L20/100/3.6*1000000+C32*'E Balans VL '!N20/100/3.6*1000000</f>
        <v>45.575066932793284</v>
      </c>
      <c r="G10" s="34"/>
      <c r="H10" s="33"/>
      <c r="I10" s="33"/>
      <c r="J10" s="40">
        <f>C32*'E Balans VL '!D20/100/3.6*1000000+C32*'E Balans VL '!E20/100/3.6*1000000</f>
        <v>0</v>
      </c>
      <c r="K10" s="33"/>
      <c r="L10" s="33"/>
      <c r="M10" s="33"/>
      <c r="N10" s="33">
        <f>C32*'E Balans VL '!Y20/100/3.6*1000000</f>
        <v>49.466480584844099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2582.232</v>
      </c>
      <c r="C13" s="33"/>
      <c r="D13" s="37">
        <f>IF( ISERROR(IND_papier_gas_kWh/1000),0,IND_papier_gas_kWh/1000)*0.902</f>
        <v>295.31479999999999</v>
      </c>
      <c r="E13" s="33">
        <f>C35*'E Balans VL '!I23/100/3.6*1000000</f>
        <v>3.663596656126042</v>
      </c>
      <c r="F13" s="33">
        <f>C35*'E Balans VL '!L23/100/3.6*1000000+C35*'E Balans VL '!N23/100/3.6*1000000</f>
        <v>63.041992938354809</v>
      </c>
      <c r="G13" s="34"/>
      <c r="H13" s="33"/>
      <c r="I13" s="33"/>
      <c r="J13" s="40">
        <f>C35*'E Balans VL '!D23/100/3.6*1000000+C35*'E Balans VL '!E23/100/3.6*1000000</f>
        <v>0.39936642227135138</v>
      </c>
      <c r="K13" s="33"/>
      <c r="L13" s="33"/>
      <c r="M13" s="33"/>
      <c r="N13" s="33">
        <f>C35*'E Balans VL '!Y23/100/3.6*1000000</f>
        <v>7505.9371677005074</v>
      </c>
      <c r="O13" s="33"/>
      <c r="P13" s="33"/>
      <c r="R13" s="32"/>
    </row>
    <row r="14" spans="1:18">
      <c r="A14" s="6" t="s">
        <v>34</v>
      </c>
      <c r="B14" s="37">
        <f t="shared" si="0"/>
        <v>5.5570000000000004</v>
      </c>
      <c r="C14" s="33"/>
      <c r="D14" s="37">
        <f>IF( ISERROR(IND_chemie_gas_kWh/1000),0,IND_chemie_gas_kWh/1000)*0.902</f>
        <v>0</v>
      </c>
      <c r="E14" s="33">
        <f>C36*'E Balans VL '!I24/100/3.6*1000000</f>
        <v>1.3679741814995316E-2</v>
      </c>
      <c r="F14" s="33">
        <f>C36*'E Balans VL '!L24/100/3.6*1000000+C36*'E Balans VL '!N24/100/3.6*1000000</f>
        <v>5.950409537177398E-2</v>
      </c>
      <c r="G14" s="34"/>
      <c r="H14" s="33"/>
      <c r="I14" s="33"/>
      <c r="J14" s="40">
        <f>C36*'E Balans VL '!D24/100/3.6*1000000+C36*'E Balans VL '!E24/100/3.6*1000000</f>
        <v>0</v>
      </c>
      <c r="K14" s="33"/>
      <c r="L14" s="33"/>
      <c r="M14" s="33"/>
      <c r="N14" s="33">
        <f>C36*'E Balans VL '!Y24/100/3.6*1000000</f>
        <v>0.12410152758351821</v>
      </c>
      <c r="O14" s="33"/>
      <c r="P14" s="33"/>
      <c r="R14" s="32"/>
    </row>
    <row r="15" spans="1:18">
      <c r="A15" s="6" t="s">
        <v>270</v>
      </c>
      <c r="B15" s="37">
        <f t="shared" si="0"/>
        <v>0.152</v>
      </c>
      <c r="C15" s="33"/>
      <c r="D15" s="37">
        <f>IF( ISERROR(IND_rest_gas_kWh/1000),0,IND_rest_gas_kWh/1000)*0.902</f>
        <v>0</v>
      </c>
      <c r="E15" s="33">
        <f>C37*'E Balans VL '!I15/100/3.6*1000000</f>
        <v>8.3928230720913162E-3</v>
      </c>
      <c r="F15" s="33">
        <f>C37*'E Balans VL '!L15/100/3.6*1000000+C37*'E Balans VL '!N15/100/3.6*1000000</f>
        <v>3.0106650562308417E-2</v>
      </c>
      <c r="G15" s="34"/>
      <c r="H15" s="33"/>
      <c r="I15" s="33"/>
      <c r="J15" s="40">
        <f>C37*'E Balans VL '!D15/100/3.6*1000000+C37*'E Balans VL '!E15/100/3.6*1000000</f>
        <v>5.4415710962457979E-4</v>
      </c>
      <c r="K15" s="33"/>
      <c r="L15" s="33"/>
      <c r="M15" s="33"/>
      <c r="N15" s="33">
        <f>C37*'E Balans VL '!Y15/100/3.6*1000000</f>
        <v>3.4095985882107389E-2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4890.89905</v>
      </c>
      <c r="C18" s="21">
        <f>C5+C16</f>
        <v>0</v>
      </c>
      <c r="D18" s="21">
        <f>MAX((D5+D16),0)</f>
        <v>1121.1221384</v>
      </c>
      <c r="E18" s="21">
        <f>MAX((E5+E16),0)</f>
        <v>186.05434646071561</v>
      </c>
      <c r="F18" s="21">
        <f>MAX((F5+F16),0)</f>
        <v>674.27979613942557</v>
      </c>
      <c r="G18" s="21"/>
      <c r="H18" s="21"/>
      <c r="I18" s="21"/>
      <c r="J18" s="21">
        <f>MAX((J5+J16),0)</f>
        <v>0.39991057938097596</v>
      </c>
      <c r="K18" s="21"/>
      <c r="L18" s="21">
        <f>MAX((L5+L16),0)</f>
        <v>0</v>
      </c>
      <c r="M18" s="21"/>
      <c r="N18" s="21">
        <f>MAX((N5+N16),0)</f>
        <v>7763.8535104415232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0.19746883593816558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965.80014209457988</v>
      </c>
      <c r="C22" s="23">
        <f ca="1">C18*C20</f>
        <v>0</v>
      </c>
      <c r="D22" s="23">
        <f>D18*D20</f>
        <v>226.46667195680001</v>
      </c>
      <c r="E22" s="23">
        <f>E18*E20</f>
        <v>42.234336646582442</v>
      </c>
      <c r="F22" s="23">
        <f>F18*F20</f>
        <v>180.03270556922664</v>
      </c>
      <c r="G22" s="23"/>
      <c r="H22" s="23"/>
      <c r="I22" s="23"/>
      <c r="J22" s="23">
        <f>J18*J20</f>
        <v>0.14156834510086549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998.89200000000005</v>
      </c>
      <c r="C30" s="39">
        <f>IF(ISERROR(B30*3.6/1000000/'E Balans VL '!Z18*100),0,B30*3.6/1000000/'E Balans VL '!Z18*100)</f>
        <v>5.660977096661117E-2</v>
      </c>
      <c r="D30" s="237" t="s">
        <v>754</v>
      </c>
    </row>
    <row r="31" spans="1:18">
      <c r="A31" s="6" t="s">
        <v>33</v>
      </c>
      <c r="B31" s="37">
        <f>IF( ISERROR(IND_ander_ele_kWh/1000),0,IND_ander_ele_kWh/1000)</f>
        <v>587.26305000000002</v>
      </c>
      <c r="C31" s="39">
        <f>IF(ISERROR(B31*3.6/1000000/'E Balans VL '!Z19*100),0,B31*3.6/1000000/'E Balans VL '!Z19*100)</f>
        <v>2.6635806627219857E-2</v>
      </c>
      <c r="D31" s="237" t="s">
        <v>754</v>
      </c>
    </row>
    <row r="32" spans="1:18">
      <c r="A32" s="171" t="s">
        <v>41</v>
      </c>
      <c r="B32" s="37">
        <f>IF( ISERROR(IND_voed_ele_kWh/1000),0,IND_voed_ele_kWh/1000)</f>
        <v>716.803</v>
      </c>
      <c r="C32" s="39">
        <f>IF(ISERROR(B32*3.6/1000000/'E Balans VL '!Z20*100),0,B32*3.6/1000000/'E Balans VL '!Z20*100)</f>
        <v>2.2173970800865989E-2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2582.232</v>
      </c>
      <c r="C35" s="39">
        <f>IF(ISERROR(B35*3.6/1000000/'E Balans VL '!Z22*100),0,B35*3.6/1000000/'E Balans VL '!Z22*100)</f>
        <v>0.46446297208945697</v>
      </c>
      <c r="D35" s="237" t="s">
        <v>754</v>
      </c>
    </row>
    <row r="36" spans="1:5">
      <c r="A36" s="171" t="s">
        <v>34</v>
      </c>
      <c r="B36" s="37">
        <f>IF( ISERROR(IND_chemie_ele_kWh/1000),0,IND_chemie_ele_kWh/1000)</f>
        <v>5.5570000000000004</v>
      </c>
      <c r="C36" s="39">
        <f>IF(ISERROR(B36*3.6/1000000/'E Balans VL '!Z24*100),0,B36*3.6/1000000/'E Balans VL '!Z24*100)</f>
        <v>1.6945529619062749E-4</v>
      </c>
      <c r="D36" s="237" t="s">
        <v>754</v>
      </c>
    </row>
    <row r="37" spans="1:5">
      <c r="A37" s="171" t="s">
        <v>270</v>
      </c>
      <c r="B37" s="37">
        <f>IF( ISERROR(IND_rest_ele_kWh/1000),0,IND_rest_ele_kWh/1000)</f>
        <v>0.152</v>
      </c>
      <c r="C37" s="39">
        <f>IF(ISERROR(B37*3.6/1000000/'E Balans VL '!Z15*100),0,B37*3.6/1000000/'E Balans VL '!Z15*100)</f>
        <v>1.2047866737535725E-6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951.21100000000001</v>
      </c>
      <c r="C5" s="17">
        <f>'Eigen informatie GS &amp; warmtenet'!B60</f>
        <v>0</v>
      </c>
      <c r="D5" s="30">
        <f>IF(ISERROR(SUM(LB_lb_gas_kWh,LB_rest_gas_kWh,onbekend_gas_kWh)/1000),0,SUM(LB_lb_gas_kWh,LB_rest_gas_kWh,onbekend_gas_kWh)/1000)*0.902</f>
        <v>151.416034</v>
      </c>
      <c r="E5" s="17">
        <f>B17*'E Balans VL '!I25/3.6*1000000/100</f>
        <v>27.958996623731974</v>
      </c>
      <c r="F5" s="17">
        <f>B17*('E Balans VL '!L25/3.6*1000000+'E Balans VL '!N25/3.6*1000000)/100</f>
        <v>3962.6936252554651</v>
      </c>
      <c r="G5" s="18"/>
      <c r="H5" s="17"/>
      <c r="I5" s="17"/>
      <c r="J5" s="17">
        <f>('E Balans VL '!D25+'E Balans VL '!E25)/3.6*1000000*landbouw!B17/100</f>
        <v>137.81004640994382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951.21100000000001</v>
      </c>
      <c r="C8" s="21">
        <f>C5+C6</f>
        <v>0</v>
      </c>
      <c r="D8" s="21">
        <f>MAX((D5+D6),0)</f>
        <v>151.416034</v>
      </c>
      <c r="E8" s="21">
        <f>MAX((E5+E6),0)</f>
        <v>27.958996623731974</v>
      </c>
      <c r="F8" s="21">
        <f>MAX((F5+F6),0)</f>
        <v>3962.6936252554651</v>
      </c>
      <c r="G8" s="21"/>
      <c r="H8" s="21"/>
      <c r="I8" s="21"/>
      <c r="J8" s="21">
        <f>MAX((J5+J6),0)</f>
        <v>137.81004640994382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0.19746883593816558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187.83452890157844</v>
      </c>
      <c r="C12" s="23">
        <f ca="1">C8*C10</f>
        <v>0</v>
      </c>
      <c r="D12" s="23">
        <f>D8*D10</f>
        <v>30.586038868000003</v>
      </c>
      <c r="E12" s="23">
        <f>E8*E10</f>
        <v>6.3466922335871585</v>
      </c>
      <c r="F12" s="23">
        <f>F8*F10</f>
        <v>1058.0391979432093</v>
      </c>
      <c r="G12" s="23"/>
      <c r="H12" s="23"/>
      <c r="I12" s="23"/>
      <c r="J12" s="23">
        <f>J8*J10</f>
        <v>48.784756429120108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0.13497982523349961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11.961050586514126</v>
      </c>
      <c r="C26" s="247">
        <f>B26*'GWP N2O_CH4'!B5</f>
        <v>251.18206231679665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0.74893609604166356</v>
      </c>
      <c r="C27" s="247">
        <f>B27*'GWP N2O_CH4'!B5</f>
        <v>15.727658016874935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0.15027007511097176</v>
      </c>
      <c r="C28" s="247">
        <f>B28*'GWP N2O_CH4'!B4</f>
        <v>46.583723284401245</v>
      </c>
      <c r="D28" s="50"/>
    </row>
    <row r="29" spans="1:4">
      <c r="A29" s="41" t="s">
        <v>277</v>
      </c>
      <c r="B29" s="247">
        <f>B34*'ha_N2O bodem landbouw'!B4</f>
        <v>9.2578595686515914</v>
      </c>
      <c r="C29" s="247">
        <f>B29*'GWP N2O_CH4'!B4</f>
        <v>2869.9364662819935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2.1126116495629038E-3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1.1400869237312759E-4</v>
      </c>
      <c r="C5" s="463" t="s">
        <v>211</v>
      </c>
      <c r="D5" s="448">
        <f>SUM(D6:D11)</f>
        <v>4.2448127681259009E-4</v>
      </c>
      <c r="E5" s="448">
        <f>SUM(E6:E11)</f>
        <v>5.6086652408299719E-4</v>
      </c>
      <c r="F5" s="461" t="s">
        <v>211</v>
      </c>
      <c r="G5" s="448">
        <f>SUM(G6:G11)</f>
        <v>0.20577345129729224</v>
      </c>
      <c r="H5" s="448">
        <f>SUM(H6:H11)</f>
        <v>4.7685846998660929E-2</v>
      </c>
      <c r="I5" s="463" t="s">
        <v>211</v>
      </c>
      <c r="J5" s="463" t="s">
        <v>211</v>
      </c>
      <c r="K5" s="463" t="s">
        <v>211</v>
      </c>
      <c r="L5" s="463" t="s">
        <v>211</v>
      </c>
      <c r="M5" s="448">
        <f>SUM(M6:M11)</f>
        <v>1.343770513441726E-2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7.8646551479640781E-5</v>
      </c>
      <c r="C6" s="449"/>
      <c r="D6" s="962">
        <f>vkm_2011_GW_PW*SUMIFS(TableVerdeelsleutelVkm[CNG],TableVerdeelsleutelVkm[Voertuigtype],"Lichte voertuigen")*SUMIFS(TableECFTransport[EnergieConsumptieFactor (PJ per km)],TableECFTransport[Index],CONCATENATE($A6,"_CNG_CNG"))</f>
        <v>2.3589451542426235E-4</v>
      </c>
      <c r="E6" s="962">
        <f>vkm_2011_GW_PW*SUMIFS(TableVerdeelsleutelVkm[LPG],TableVerdeelsleutelVkm[Voertuigtype],"Lichte voertuigen")*SUMIFS(TableECFTransport[EnergieConsumptieFactor (PJ per km)],TableECFTransport[Index],CONCATENATE($A6,"_LPG_LPG"))</f>
        <v>3.2226579264677473E-4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8.3323161084910571E-2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2.6825594014382875E-2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5.6642961099790711E-3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5.463094978883673E-2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1.6647491128493802E-5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3.1924513035575999E-3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3.536214089348681E-5</v>
      </c>
      <c r="C8" s="449"/>
      <c r="D8" s="451">
        <f>vkm_2011_NGW_PW*SUMIFS(TableVerdeelsleutelVkm[CNG],TableVerdeelsleutelVkm[Voertuigtype],"Lichte voertuigen")*SUMIFS(TableECFTransport[EnergieConsumptieFactor (PJ per km)],TableECFTransport[Index],CONCATENATE($A8,"_CNG_CNG"))</f>
        <v>1.8858676138832771E-4</v>
      </c>
      <c r="E8" s="451">
        <f>vkm_2011_NGW_PW*SUMIFS(TableVerdeelsleutelVkm[LPG],TableVerdeelsleutelVkm[Voertuigtype],"Lichte voertuigen")*SUMIFS(TableECFTransport[EnergieConsumptieFactor (PJ per km)],TableECFTransport[Index],CONCATENATE($A8,"_LPG_LPG"))</f>
        <v>2.3860073143622246E-4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5.7489681677301042E-2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2.0840642187375968E-2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3.9773322349774681E-3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1.0329658746243893E-2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2.9633057735916514E-6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6.036254859031196E-4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31.669081214757664</v>
      </c>
      <c r="C14" s="21"/>
      <c r="D14" s="21">
        <f t="shared" ref="D14:M14" si="0">((D5)*10^9/3600)+D12</f>
        <v>117.91146578127503</v>
      </c>
      <c r="E14" s="21">
        <f t="shared" si="0"/>
        <v>155.79625668972145</v>
      </c>
      <c r="F14" s="21"/>
      <c r="G14" s="21">
        <f t="shared" si="0"/>
        <v>57159.292027025622</v>
      </c>
      <c r="H14" s="21">
        <f t="shared" si="0"/>
        <v>13246.068610739147</v>
      </c>
      <c r="I14" s="21"/>
      <c r="J14" s="21"/>
      <c r="K14" s="21"/>
      <c r="L14" s="21"/>
      <c r="M14" s="21">
        <f t="shared" si="0"/>
        <v>3732.6958706714613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0.19746883593816558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6.2536566027094231</v>
      </c>
      <c r="C18" s="23"/>
      <c r="D18" s="23">
        <f t="shared" ref="D18:M18" si="1">D14*D16</f>
        <v>23.818116087817558</v>
      </c>
      <c r="E18" s="23">
        <f t="shared" si="1"/>
        <v>35.365750268566771</v>
      </c>
      <c r="F18" s="23"/>
      <c r="G18" s="23">
        <f t="shared" si="1"/>
        <v>15261.530971215841</v>
      </c>
      <c r="H18" s="23">
        <f t="shared" si="1"/>
        <v>3298.2710840740474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9.6087457207504386E-3</v>
      </c>
      <c r="H50" s="321">
        <f t="shared" si="2"/>
        <v>0</v>
      </c>
      <c r="I50" s="321">
        <f t="shared" si="2"/>
        <v>0</v>
      </c>
      <c r="J50" s="321">
        <f t="shared" si="2"/>
        <v>0</v>
      </c>
      <c r="K50" s="321">
        <f t="shared" si="2"/>
        <v>0</v>
      </c>
      <c r="L50" s="321">
        <f t="shared" si="2"/>
        <v>0</v>
      </c>
      <c r="M50" s="321">
        <f t="shared" si="2"/>
        <v>5.4573433839668077E-4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9.6087457207504386E-3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5.4573433839668077E-4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2669.0960335417885</v>
      </c>
      <c r="H54" s="21">
        <f t="shared" si="3"/>
        <v>0</v>
      </c>
      <c r="I54" s="21">
        <f t="shared" si="3"/>
        <v>0</v>
      </c>
      <c r="J54" s="21">
        <f t="shared" si="3"/>
        <v>0</v>
      </c>
      <c r="K54" s="21">
        <f t="shared" si="3"/>
        <v>0</v>
      </c>
      <c r="L54" s="21">
        <f t="shared" si="3"/>
        <v>0</v>
      </c>
      <c r="M54" s="21">
        <f t="shared" si="3"/>
        <v>151.59287177685576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0.19746883593816558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712.64864095565758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4289.8161736847951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4289.8161736847951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13339.391049646905</v>
      </c>
      <c r="D10" s="718">
        <f ca="1">tertiair!C16</f>
        <v>0</v>
      </c>
      <c r="E10" s="718">
        <f ca="1">tertiair!D16</f>
        <v>8286.0572123999991</v>
      </c>
      <c r="F10" s="718">
        <f>tertiair!E16</f>
        <v>249.39556918695112</v>
      </c>
      <c r="G10" s="718">
        <f ca="1">tertiair!F16</f>
        <v>2234.0109799652382</v>
      </c>
      <c r="H10" s="718">
        <f>tertiair!G16</f>
        <v>0</v>
      </c>
      <c r="I10" s="718">
        <f>tertiair!H16</f>
        <v>0</v>
      </c>
      <c r="J10" s="718">
        <f>tertiair!I16</f>
        <v>0</v>
      </c>
      <c r="K10" s="718">
        <f>tertiair!J16</f>
        <v>3.1610872269028929E-2</v>
      </c>
      <c r="L10" s="718">
        <f>tertiair!K16</f>
        <v>0</v>
      </c>
      <c r="M10" s="718">
        <f ca="1">tertiair!L16</f>
        <v>0</v>
      </c>
      <c r="N10" s="718">
        <f>tertiair!M16</f>
        <v>0</v>
      </c>
      <c r="O10" s="718">
        <f ca="1">tertiair!N16</f>
        <v>1256.1170215953236</v>
      </c>
      <c r="P10" s="718">
        <f>tertiair!O16</f>
        <v>1.5633333333333335</v>
      </c>
      <c r="Q10" s="719">
        <f>tertiair!P16</f>
        <v>57.2</v>
      </c>
      <c r="R10" s="721">
        <f ca="1">SUM(C10:Q10)</f>
        <v>25423.766777000023</v>
      </c>
      <c r="S10" s="67"/>
    </row>
    <row r="11" spans="1:19" s="474" customFormat="1">
      <c r="A11" s="870" t="s">
        <v>225</v>
      </c>
      <c r="B11" s="875"/>
      <c r="C11" s="718">
        <f>huishoudens!B8</f>
        <v>21075.927795468255</v>
      </c>
      <c r="D11" s="718">
        <f>huishoudens!C8</f>
        <v>0</v>
      </c>
      <c r="E11" s="718">
        <f>huishoudens!D8</f>
        <v>36091.724647000003</v>
      </c>
      <c r="F11" s="718">
        <f>huishoudens!E8</f>
        <v>5042.1345230435154</v>
      </c>
      <c r="G11" s="718">
        <f>huishoudens!F8</f>
        <v>29401.327138744444</v>
      </c>
      <c r="H11" s="718">
        <f>huishoudens!G8</f>
        <v>0</v>
      </c>
      <c r="I11" s="718">
        <f>huishoudens!H8</f>
        <v>0</v>
      </c>
      <c r="J11" s="718">
        <f>huishoudens!I8</f>
        <v>0</v>
      </c>
      <c r="K11" s="718">
        <f>huishoudens!J8</f>
        <v>0</v>
      </c>
      <c r="L11" s="718">
        <f>huishoudens!K8</f>
        <v>0</v>
      </c>
      <c r="M11" s="718">
        <f>huishoudens!L8</f>
        <v>0</v>
      </c>
      <c r="N11" s="718">
        <f>huishoudens!M8</f>
        <v>0</v>
      </c>
      <c r="O11" s="718">
        <f>huishoudens!N8</f>
        <v>5782.8483239765983</v>
      </c>
      <c r="P11" s="718">
        <f>huishoudens!O8</f>
        <v>198.54333333333332</v>
      </c>
      <c r="Q11" s="719">
        <f>huishoudens!P8</f>
        <v>1010.5333333333333</v>
      </c>
      <c r="R11" s="721">
        <f>SUM(C11:Q11)</f>
        <v>98603.03909489949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4890.89905</v>
      </c>
      <c r="D13" s="718">
        <f>industrie!C18</f>
        <v>0</v>
      </c>
      <c r="E13" s="718">
        <f>industrie!D18</f>
        <v>1121.1221384</v>
      </c>
      <c r="F13" s="718">
        <f>industrie!E18</f>
        <v>186.05434646071561</v>
      </c>
      <c r="G13" s="718">
        <f>industrie!F18</f>
        <v>674.27979613942557</v>
      </c>
      <c r="H13" s="718">
        <f>industrie!G18</f>
        <v>0</v>
      </c>
      <c r="I13" s="718">
        <f>industrie!H18</f>
        <v>0</v>
      </c>
      <c r="J13" s="718">
        <f>industrie!I18</f>
        <v>0</v>
      </c>
      <c r="K13" s="718">
        <f>industrie!J18</f>
        <v>0.39991057938097596</v>
      </c>
      <c r="L13" s="718">
        <f>industrie!K18</f>
        <v>0</v>
      </c>
      <c r="M13" s="718">
        <f>industrie!L18</f>
        <v>0</v>
      </c>
      <c r="N13" s="718">
        <f>industrie!M18</f>
        <v>0</v>
      </c>
      <c r="O13" s="718">
        <f>industrie!N18</f>
        <v>7763.8535104415232</v>
      </c>
      <c r="P13" s="718">
        <f>industrie!O18</f>
        <v>0</v>
      </c>
      <c r="Q13" s="719">
        <f>industrie!P18</f>
        <v>0</v>
      </c>
      <c r="R13" s="721">
        <f>SUM(C13:Q13)</f>
        <v>14636.608752021046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39306.217895115158</v>
      </c>
      <c r="D15" s="723">
        <f t="shared" ref="D15:Q15" ca="1" si="0">SUM(D9:D14)</f>
        <v>0</v>
      </c>
      <c r="E15" s="723">
        <f t="shared" ca="1" si="0"/>
        <v>45498.9039978</v>
      </c>
      <c r="F15" s="723">
        <f t="shared" si="0"/>
        <v>5477.5844386911822</v>
      </c>
      <c r="G15" s="723">
        <f t="shared" ca="1" si="0"/>
        <v>32309.617914849106</v>
      </c>
      <c r="H15" s="723">
        <f t="shared" si="0"/>
        <v>0</v>
      </c>
      <c r="I15" s="723">
        <f t="shared" si="0"/>
        <v>0</v>
      </c>
      <c r="J15" s="723">
        <f t="shared" si="0"/>
        <v>0</v>
      </c>
      <c r="K15" s="723">
        <f t="shared" si="0"/>
        <v>0.43152145165000488</v>
      </c>
      <c r="L15" s="723">
        <f t="shared" si="0"/>
        <v>0</v>
      </c>
      <c r="M15" s="723">
        <f t="shared" ca="1" si="0"/>
        <v>0</v>
      </c>
      <c r="N15" s="723">
        <f t="shared" si="0"/>
        <v>0</v>
      </c>
      <c r="O15" s="723">
        <f t="shared" ca="1" si="0"/>
        <v>14802.818856013444</v>
      </c>
      <c r="P15" s="723">
        <f t="shared" si="0"/>
        <v>200.10666666666665</v>
      </c>
      <c r="Q15" s="724">
        <f t="shared" si="0"/>
        <v>1067.7333333333333</v>
      </c>
      <c r="R15" s="725">
        <f ca="1">SUM(R9:R14)</f>
        <v>138663.41462392057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2669.0960335417885</v>
      </c>
      <c r="I18" s="718">
        <f>transport!H54</f>
        <v>0</v>
      </c>
      <c r="J18" s="718">
        <f>transport!I54</f>
        <v>0</v>
      </c>
      <c r="K18" s="718">
        <f>transport!J54</f>
        <v>0</v>
      </c>
      <c r="L18" s="718">
        <f>transport!K54</f>
        <v>0</v>
      </c>
      <c r="M18" s="718">
        <f>transport!L54</f>
        <v>0</v>
      </c>
      <c r="N18" s="718">
        <f>transport!M54</f>
        <v>151.59287177685576</v>
      </c>
      <c r="O18" s="718">
        <f>transport!N54</f>
        <v>0</v>
      </c>
      <c r="P18" s="718">
        <f>transport!O54</f>
        <v>0</v>
      </c>
      <c r="Q18" s="719">
        <f>transport!P54</f>
        <v>0</v>
      </c>
      <c r="R18" s="721">
        <f>SUM(C18:Q18)</f>
        <v>2820.6889053186442</v>
      </c>
      <c r="S18" s="67"/>
    </row>
    <row r="19" spans="1:19" s="474" customFormat="1" ht="15" thickBot="1">
      <c r="A19" s="870" t="s">
        <v>307</v>
      </c>
      <c r="B19" s="875"/>
      <c r="C19" s="727">
        <f>transport!B14</f>
        <v>31.669081214757664</v>
      </c>
      <c r="D19" s="727">
        <f>transport!C14</f>
        <v>0</v>
      </c>
      <c r="E19" s="727">
        <f>transport!D14</f>
        <v>117.91146578127503</v>
      </c>
      <c r="F19" s="727">
        <f>transport!E14</f>
        <v>155.79625668972145</v>
      </c>
      <c r="G19" s="727">
        <f>transport!F14</f>
        <v>0</v>
      </c>
      <c r="H19" s="727">
        <f>transport!G14</f>
        <v>57159.292027025622</v>
      </c>
      <c r="I19" s="727">
        <f>transport!H14</f>
        <v>13246.068610739147</v>
      </c>
      <c r="J19" s="727">
        <f>transport!I14</f>
        <v>0</v>
      </c>
      <c r="K19" s="727">
        <f>transport!J14</f>
        <v>0</v>
      </c>
      <c r="L19" s="727">
        <f>transport!K14</f>
        <v>0</v>
      </c>
      <c r="M19" s="727">
        <f>transport!L14</f>
        <v>0</v>
      </c>
      <c r="N19" s="727">
        <f>transport!M14</f>
        <v>3732.6958706714613</v>
      </c>
      <c r="O19" s="727">
        <f>transport!N14</f>
        <v>0</v>
      </c>
      <c r="P19" s="727">
        <f>transport!O14</f>
        <v>0</v>
      </c>
      <c r="Q19" s="728">
        <f>transport!P14</f>
        <v>0</v>
      </c>
      <c r="R19" s="729">
        <f>SUM(C19:Q19)</f>
        <v>74443.433312121982</v>
      </c>
      <c r="S19" s="67"/>
    </row>
    <row r="20" spans="1:19" s="474" customFormat="1" ht="15.75" thickBot="1">
      <c r="A20" s="730" t="s">
        <v>230</v>
      </c>
      <c r="B20" s="878"/>
      <c r="C20" s="873">
        <f>SUM(C17:C19)</f>
        <v>31.669081214757664</v>
      </c>
      <c r="D20" s="731">
        <f t="shared" ref="D20:R20" si="1">SUM(D17:D19)</f>
        <v>0</v>
      </c>
      <c r="E20" s="731">
        <f t="shared" si="1"/>
        <v>117.91146578127503</v>
      </c>
      <c r="F20" s="731">
        <f t="shared" si="1"/>
        <v>155.79625668972145</v>
      </c>
      <c r="G20" s="731">
        <f t="shared" si="1"/>
        <v>0</v>
      </c>
      <c r="H20" s="731">
        <f t="shared" si="1"/>
        <v>59828.388060567413</v>
      </c>
      <c r="I20" s="731">
        <f t="shared" si="1"/>
        <v>13246.068610739147</v>
      </c>
      <c r="J20" s="731">
        <f t="shared" si="1"/>
        <v>0</v>
      </c>
      <c r="K20" s="731">
        <f t="shared" si="1"/>
        <v>0</v>
      </c>
      <c r="L20" s="731">
        <f t="shared" si="1"/>
        <v>0</v>
      </c>
      <c r="M20" s="731">
        <f t="shared" si="1"/>
        <v>0</v>
      </c>
      <c r="N20" s="731">
        <f t="shared" si="1"/>
        <v>3884.288742448317</v>
      </c>
      <c r="O20" s="731">
        <f t="shared" si="1"/>
        <v>0</v>
      </c>
      <c r="P20" s="731">
        <f t="shared" si="1"/>
        <v>0</v>
      </c>
      <c r="Q20" s="732">
        <f t="shared" si="1"/>
        <v>0</v>
      </c>
      <c r="R20" s="733">
        <f t="shared" si="1"/>
        <v>77264.122217440628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951.21100000000001</v>
      </c>
      <c r="D22" s="727">
        <f>+landbouw!C8</f>
        <v>0</v>
      </c>
      <c r="E22" s="727">
        <f>+landbouw!D8</f>
        <v>151.416034</v>
      </c>
      <c r="F22" s="727">
        <f>+landbouw!E8</f>
        <v>27.958996623731974</v>
      </c>
      <c r="G22" s="727">
        <f>+landbouw!F8</f>
        <v>3962.6936252554651</v>
      </c>
      <c r="H22" s="727">
        <f>+landbouw!G8</f>
        <v>0</v>
      </c>
      <c r="I22" s="727">
        <f>+landbouw!H8</f>
        <v>0</v>
      </c>
      <c r="J22" s="727">
        <f>+landbouw!I8</f>
        <v>0</v>
      </c>
      <c r="K22" s="727">
        <f>+landbouw!J8</f>
        <v>137.81004640994382</v>
      </c>
      <c r="L22" s="727">
        <f>+landbouw!K8</f>
        <v>0</v>
      </c>
      <c r="M22" s="727">
        <f>+landbouw!L8</f>
        <v>0</v>
      </c>
      <c r="N22" s="727">
        <f>+landbouw!M8</f>
        <v>0</v>
      </c>
      <c r="O22" s="727">
        <f>+landbouw!N8</f>
        <v>0</v>
      </c>
      <c r="P22" s="727">
        <f>+landbouw!O8</f>
        <v>0</v>
      </c>
      <c r="Q22" s="728">
        <f>+landbouw!P8</f>
        <v>0</v>
      </c>
      <c r="R22" s="729">
        <f>SUM(C22:Q22)</f>
        <v>5231.0897022891404</v>
      </c>
      <c r="S22" s="67"/>
    </row>
    <row r="23" spans="1:19" s="474" customFormat="1" ht="17.25" thickTop="1" thickBot="1">
      <c r="A23" s="734" t="s">
        <v>116</v>
      </c>
      <c r="B23" s="864"/>
      <c r="C23" s="735">
        <f ca="1">C20+C15+C22</f>
        <v>40289.097976329918</v>
      </c>
      <c r="D23" s="735">
        <f t="shared" ref="D23:Q23" ca="1" si="2">D20+D15+D22</f>
        <v>0</v>
      </c>
      <c r="E23" s="735">
        <f t="shared" ca="1" si="2"/>
        <v>45768.231497581277</v>
      </c>
      <c r="F23" s="735">
        <f t="shared" si="2"/>
        <v>5661.3396920046353</v>
      </c>
      <c r="G23" s="735">
        <f t="shared" ca="1" si="2"/>
        <v>36272.311540104572</v>
      </c>
      <c r="H23" s="735">
        <f t="shared" si="2"/>
        <v>59828.388060567413</v>
      </c>
      <c r="I23" s="735">
        <f t="shared" si="2"/>
        <v>13246.068610739147</v>
      </c>
      <c r="J23" s="735">
        <f t="shared" si="2"/>
        <v>0</v>
      </c>
      <c r="K23" s="735">
        <f t="shared" si="2"/>
        <v>138.24156786159384</v>
      </c>
      <c r="L23" s="735">
        <f t="shared" si="2"/>
        <v>0</v>
      </c>
      <c r="M23" s="735">
        <f t="shared" ca="1" si="2"/>
        <v>0</v>
      </c>
      <c r="N23" s="735">
        <f t="shared" si="2"/>
        <v>3884.288742448317</v>
      </c>
      <c r="O23" s="735">
        <f t="shared" ca="1" si="2"/>
        <v>14802.818856013444</v>
      </c>
      <c r="P23" s="735">
        <f t="shared" si="2"/>
        <v>200.10666666666665</v>
      </c>
      <c r="Q23" s="736">
        <f t="shared" si="2"/>
        <v>1067.7333333333333</v>
      </c>
      <c r="R23" s="737">
        <f ca="1">R20+R15+R22</f>
        <v>221158.62654365035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2634.1140226977591</v>
      </c>
      <c r="D36" s="718">
        <f ca="1">tertiair!C20</f>
        <v>0</v>
      </c>
      <c r="E36" s="718">
        <f ca="1">tertiair!D20</f>
        <v>1673.7835569048</v>
      </c>
      <c r="F36" s="718">
        <f>tertiair!E20</f>
        <v>56.612794205437908</v>
      </c>
      <c r="G36" s="718">
        <f ca="1">tertiair!F20</f>
        <v>596.48093165071862</v>
      </c>
      <c r="H36" s="718">
        <f>tertiair!G20</f>
        <v>0</v>
      </c>
      <c r="I36" s="718">
        <f>tertiair!H20</f>
        <v>0</v>
      </c>
      <c r="J36" s="718">
        <f>tertiair!I20</f>
        <v>0</v>
      </c>
      <c r="K36" s="718">
        <f>tertiair!J20</f>
        <v>1.119024878323624E-2</v>
      </c>
      <c r="L36" s="718">
        <f>tertiair!K20</f>
        <v>0</v>
      </c>
      <c r="M36" s="718">
        <f ca="1">tertiair!L20</f>
        <v>0</v>
      </c>
      <c r="N36" s="718">
        <f>tertiair!M20</f>
        <v>0</v>
      </c>
      <c r="O36" s="718">
        <f ca="1">tertiair!N20</f>
        <v>0</v>
      </c>
      <c r="P36" s="718">
        <f>tertiair!O20</f>
        <v>0</v>
      </c>
      <c r="Q36" s="828">
        <f>tertiair!P20</f>
        <v>0</v>
      </c>
      <c r="R36" s="917">
        <f ca="1">SUM(C36:Q36)</f>
        <v>4961.0024957074993</v>
      </c>
    </row>
    <row r="37" spans="1:18">
      <c r="A37" s="885" t="s">
        <v>225</v>
      </c>
      <c r="B37" s="892"/>
      <c r="C37" s="718">
        <f ca="1">huishoudens!B12</f>
        <v>4161.8389280879446</v>
      </c>
      <c r="D37" s="718">
        <f ca="1">huishoudens!C12</f>
        <v>0</v>
      </c>
      <c r="E37" s="718">
        <f>huishoudens!D12</f>
        <v>7290.5283786940008</v>
      </c>
      <c r="F37" s="718">
        <f>huishoudens!E12</f>
        <v>1144.564536730878</v>
      </c>
      <c r="G37" s="718">
        <f>huishoudens!F12</f>
        <v>7850.1543460447665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20447.086189557587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965.80014209457988</v>
      </c>
      <c r="D39" s="718">
        <f ca="1">industrie!C22</f>
        <v>0</v>
      </c>
      <c r="E39" s="718">
        <f>industrie!D22</f>
        <v>226.46667195680001</v>
      </c>
      <c r="F39" s="718">
        <f>industrie!E22</f>
        <v>42.234336646582442</v>
      </c>
      <c r="G39" s="718">
        <f>industrie!F22</f>
        <v>180.03270556922664</v>
      </c>
      <c r="H39" s="718">
        <f>industrie!G22</f>
        <v>0</v>
      </c>
      <c r="I39" s="718">
        <f>industrie!H22</f>
        <v>0</v>
      </c>
      <c r="J39" s="718">
        <f>industrie!I22</f>
        <v>0</v>
      </c>
      <c r="K39" s="718">
        <f>industrie!J22</f>
        <v>0.14156834510086549</v>
      </c>
      <c r="L39" s="718">
        <f>industrie!K22</f>
        <v>0</v>
      </c>
      <c r="M39" s="718">
        <f>industrie!L22</f>
        <v>0</v>
      </c>
      <c r="N39" s="718">
        <f>industrie!M22</f>
        <v>0</v>
      </c>
      <c r="O39" s="718">
        <f>industrie!N22</f>
        <v>0</v>
      </c>
      <c r="P39" s="718">
        <f>industrie!O22</f>
        <v>0</v>
      </c>
      <c r="Q39" s="828">
        <f>industrie!P22</f>
        <v>0</v>
      </c>
      <c r="R39" s="918">
        <f ca="1">SUM(C39:Q39)</f>
        <v>1414.67542461229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7761.7530928802844</v>
      </c>
      <c r="D41" s="763">
        <f t="shared" ref="D41:R41" ca="1" si="4">SUM(D35:D40)</f>
        <v>0</v>
      </c>
      <c r="E41" s="763">
        <f t="shared" ca="1" si="4"/>
        <v>9190.7786075555996</v>
      </c>
      <c r="F41" s="763">
        <f t="shared" si="4"/>
        <v>1243.4116675828984</v>
      </c>
      <c r="G41" s="763">
        <f t="shared" ca="1" si="4"/>
        <v>8626.6679832647114</v>
      </c>
      <c r="H41" s="763">
        <f t="shared" si="4"/>
        <v>0</v>
      </c>
      <c r="I41" s="763">
        <f t="shared" si="4"/>
        <v>0</v>
      </c>
      <c r="J41" s="763">
        <f t="shared" si="4"/>
        <v>0</v>
      </c>
      <c r="K41" s="763">
        <f t="shared" si="4"/>
        <v>0.15275859388410173</v>
      </c>
      <c r="L41" s="763">
        <f t="shared" si="4"/>
        <v>0</v>
      </c>
      <c r="M41" s="763">
        <f t="shared" ca="1" si="4"/>
        <v>0</v>
      </c>
      <c r="N41" s="763">
        <f t="shared" si="4"/>
        <v>0</v>
      </c>
      <c r="O41" s="763">
        <f t="shared" ca="1" si="4"/>
        <v>0</v>
      </c>
      <c r="P41" s="763">
        <f t="shared" si="4"/>
        <v>0</v>
      </c>
      <c r="Q41" s="764">
        <f t="shared" si="4"/>
        <v>0</v>
      </c>
      <c r="R41" s="765">
        <f t="shared" ca="1" si="4"/>
        <v>26822.764109877378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712.64864095565758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712.64864095565758</v>
      </c>
    </row>
    <row r="45" spans="1:18" ht="15" thickBot="1">
      <c r="A45" s="888" t="s">
        <v>307</v>
      </c>
      <c r="B45" s="898"/>
      <c r="C45" s="727">
        <f ca="1">transport!B18</f>
        <v>6.2536566027094231</v>
      </c>
      <c r="D45" s="727">
        <f>transport!C18</f>
        <v>0</v>
      </c>
      <c r="E45" s="727">
        <f>transport!D18</f>
        <v>23.818116087817558</v>
      </c>
      <c r="F45" s="727">
        <f>transport!E18</f>
        <v>35.365750268566771</v>
      </c>
      <c r="G45" s="727">
        <f>transport!F18</f>
        <v>0</v>
      </c>
      <c r="H45" s="727">
        <f>transport!G18</f>
        <v>15261.530971215841</v>
      </c>
      <c r="I45" s="727">
        <f>transport!H18</f>
        <v>3298.2710840740474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18625.239578248984</v>
      </c>
    </row>
    <row r="46" spans="1:18" ht="15.75" thickBot="1">
      <c r="A46" s="886" t="s">
        <v>230</v>
      </c>
      <c r="B46" s="899"/>
      <c r="C46" s="763">
        <f t="shared" ref="C46:R46" ca="1" si="5">SUM(C43:C45)</f>
        <v>6.2536566027094231</v>
      </c>
      <c r="D46" s="763">
        <f t="shared" ca="1" si="5"/>
        <v>0</v>
      </c>
      <c r="E46" s="763">
        <f t="shared" si="5"/>
        <v>23.818116087817558</v>
      </c>
      <c r="F46" s="763">
        <f t="shared" si="5"/>
        <v>35.365750268566771</v>
      </c>
      <c r="G46" s="763">
        <f t="shared" si="5"/>
        <v>0</v>
      </c>
      <c r="H46" s="763">
        <f t="shared" si="5"/>
        <v>15974.1796121715</v>
      </c>
      <c r="I46" s="763">
        <f t="shared" si="5"/>
        <v>3298.2710840740474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19337.88821920464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187.83452890157844</v>
      </c>
      <c r="D48" s="718">
        <f ca="1">+landbouw!C12</f>
        <v>0</v>
      </c>
      <c r="E48" s="718">
        <f>+landbouw!D12</f>
        <v>30.586038868000003</v>
      </c>
      <c r="F48" s="718">
        <f>+landbouw!E12</f>
        <v>6.3466922335871585</v>
      </c>
      <c r="G48" s="718">
        <f>+landbouw!F12</f>
        <v>1058.0391979432093</v>
      </c>
      <c r="H48" s="718">
        <f>+landbouw!G12</f>
        <v>0</v>
      </c>
      <c r="I48" s="718">
        <f>+landbouw!H12</f>
        <v>0</v>
      </c>
      <c r="J48" s="718">
        <f>+landbouw!I12</f>
        <v>0</v>
      </c>
      <c r="K48" s="718">
        <f>+landbouw!J12</f>
        <v>48.784756429120108</v>
      </c>
      <c r="L48" s="718">
        <f>+landbouw!K12</f>
        <v>0</v>
      </c>
      <c r="M48" s="718">
        <f>+landbouw!L12</f>
        <v>0</v>
      </c>
      <c r="N48" s="718">
        <f>+landbouw!M12</f>
        <v>0</v>
      </c>
      <c r="O48" s="718">
        <f>+landbouw!N12</f>
        <v>0</v>
      </c>
      <c r="P48" s="718">
        <f>+landbouw!O12</f>
        <v>0</v>
      </c>
      <c r="Q48" s="719">
        <f>+landbouw!P12</f>
        <v>0</v>
      </c>
      <c r="R48" s="761">
        <f ca="1">SUM(C48:Q48)</f>
        <v>1331.5912143754949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7955.8412783845724</v>
      </c>
      <c r="D53" s="773">
        <f t="shared" ref="D53:Q53" ca="1" si="6">D41+D46+D48</f>
        <v>0</v>
      </c>
      <c r="E53" s="773">
        <f t="shared" ca="1" si="6"/>
        <v>9245.1827625114165</v>
      </c>
      <c r="F53" s="773">
        <f t="shared" si="6"/>
        <v>1285.1241100850523</v>
      </c>
      <c r="G53" s="773">
        <f t="shared" ca="1" si="6"/>
        <v>9684.7071812079212</v>
      </c>
      <c r="H53" s="773">
        <f t="shared" si="6"/>
        <v>15974.1796121715</v>
      </c>
      <c r="I53" s="773">
        <f t="shared" si="6"/>
        <v>3298.2710840740474</v>
      </c>
      <c r="J53" s="773">
        <f t="shared" si="6"/>
        <v>0</v>
      </c>
      <c r="K53" s="773">
        <f t="shared" si="6"/>
        <v>48.93751502300421</v>
      </c>
      <c r="L53" s="773">
        <f t="shared" si="6"/>
        <v>0</v>
      </c>
      <c r="M53" s="773">
        <f t="shared" ca="1" si="6"/>
        <v>0</v>
      </c>
      <c r="N53" s="773">
        <f t="shared" si="6"/>
        <v>0</v>
      </c>
      <c r="O53" s="773">
        <f t="shared" ca="1" si="6"/>
        <v>0</v>
      </c>
      <c r="P53" s="773">
        <f>P41+P46+P48</f>
        <v>0</v>
      </c>
      <c r="Q53" s="774">
        <f t="shared" si="6"/>
        <v>0</v>
      </c>
      <c r="R53" s="775">
        <f ca="1">R41+R46+R48</f>
        <v>47492.243543457516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0.19746883593816561</v>
      </c>
      <c r="D55" s="836">
        <f t="shared" ca="1" si="7"/>
        <v>0</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4289.8161736847951</v>
      </c>
      <c r="C66" s="795">
        <f>'lokale energieproductie'!B6</f>
        <v>4289.8161736847951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4289.8161736847951</v>
      </c>
      <c r="C69" s="803">
        <f>SUM(C64:C68)</f>
        <v>4289.8161736847951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21075.927795468255</v>
      </c>
      <c r="C4" s="478">
        <f>huishoudens!C8</f>
        <v>0</v>
      </c>
      <c r="D4" s="478">
        <f>huishoudens!D8</f>
        <v>36091.724647000003</v>
      </c>
      <c r="E4" s="478">
        <f>huishoudens!E8</f>
        <v>5042.1345230435154</v>
      </c>
      <c r="F4" s="478">
        <f>huishoudens!F8</f>
        <v>29401.327138744444</v>
      </c>
      <c r="G4" s="478">
        <f>huishoudens!G8</f>
        <v>0</v>
      </c>
      <c r="H4" s="478">
        <f>huishoudens!H8</f>
        <v>0</v>
      </c>
      <c r="I4" s="478">
        <f>huishoudens!I8</f>
        <v>0</v>
      </c>
      <c r="J4" s="478">
        <f>huishoudens!J8</f>
        <v>0</v>
      </c>
      <c r="K4" s="478">
        <f>huishoudens!K8</f>
        <v>0</v>
      </c>
      <c r="L4" s="478">
        <f>huishoudens!L8</f>
        <v>0</v>
      </c>
      <c r="M4" s="478">
        <f>huishoudens!M8</f>
        <v>0</v>
      </c>
      <c r="N4" s="478">
        <f>huishoudens!N8</f>
        <v>5782.8483239765983</v>
      </c>
      <c r="O4" s="478">
        <f>huishoudens!O8</f>
        <v>198.54333333333332</v>
      </c>
      <c r="P4" s="479">
        <f>huishoudens!P8</f>
        <v>1010.5333333333333</v>
      </c>
      <c r="Q4" s="480">
        <f>SUM(B4:P4)</f>
        <v>98603.03909489949</v>
      </c>
    </row>
    <row r="5" spans="1:17">
      <c r="A5" s="477" t="s">
        <v>156</v>
      </c>
      <c r="B5" s="478">
        <f ca="1">tertiair!B16</f>
        <v>12201.850049646906</v>
      </c>
      <c r="C5" s="478">
        <f ca="1">tertiair!C16</f>
        <v>0</v>
      </c>
      <c r="D5" s="478">
        <f ca="1">tertiair!D16</f>
        <v>8286.0572123999991</v>
      </c>
      <c r="E5" s="478">
        <f>tertiair!E16</f>
        <v>249.39556918695112</v>
      </c>
      <c r="F5" s="478">
        <f ca="1">tertiair!F16</f>
        <v>2234.0109799652382</v>
      </c>
      <c r="G5" s="478">
        <f>tertiair!G16</f>
        <v>0</v>
      </c>
      <c r="H5" s="478">
        <f>tertiair!H16</f>
        <v>0</v>
      </c>
      <c r="I5" s="478">
        <f>tertiair!I16</f>
        <v>0</v>
      </c>
      <c r="J5" s="478">
        <f>tertiair!J16</f>
        <v>3.1610872269028929E-2</v>
      </c>
      <c r="K5" s="478">
        <f>tertiair!K16</f>
        <v>0</v>
      </c>
      <c r="L5" s="478">
        <f ca="1">tertiair!L16</f>
        <v>0</v>
      </c>
      <c r="M5" s="478">
        <f>tertiair!M16</f>
        <v>0</v>
      </c>
      <c r="N5" s="478">
        <f ca="1">tertiair!N16</f>
        <v>1256.1170215953236</v>
      </c>
      <c r="O5" s="478">
        <f>tertiair!O16</f>
        <v>1.5633333333333335</v>
      </c>
      <c r="P5" s="479">
        <f>tertiair!P16</f>
        <v>57.2</v>
      </c>
      <c r="Q5" s="477">
        <f t="shared" ref="Q5:Q13" ca="1" si="0">SUM(B5:P5)</f>
        <v>24286.225777000021</v>
      </c>
    </row>
    <row r="6" spans="1:17">
      <c r="A6" s="477" t="s">
        <v>194</v>
      </c>
      <c r="B6" s="478">
        <f>'openbare verlichting'!B8</f>
        <v>1137.5409999999999</v>
      </c>
      <c r="C6" s="478"/>
      <c r="D6" s="478"/>
      <c r="E6" s="478"/>
      <c r="F6" s="478"/>
      <c r="G6" s="478"/>
      <c r="H6" s="478"/>
      <c r="I6" s="478"/>
      <c r="J6" s="478"/>
      <c r="K6" s="478"/>
      <c r="L6" s="478"/>
      <c r="M6" s="478"/>
      <c r="N6" s="478"/>
      <c r="O6" s="478"/>
      <c r="P6" s="479"/>
      <c r="Q6" s="477">
        <f t="shared" si="0"/>
        <v>1137.5409999999999</v>
      </c>
    </row>
    <row r="7" spans="1:17">
      <c r="A7" s="477" t="s">
        <v>112</v>
      </c>
      <c r="B7" s="478">
        <f>landbouw!B8</f>
        <v>951.21100000000001</v>
      </c>
      <c r="C7" s="478">
        <f>landbouw!C8</f>
        <v>0</v>
      </c>
      <c r="D7" s="478">
        <f>landbouw!D8</f>
        <v>151.416034</v>
      </c>
      <c r="E7" s="478">
        <f>landbouw!E8</f>
        <v>27.958996623731974</v>
      </c>
      <c r="F7" s="478">
        <f>landbouw!F8</f>
        <v>3962.6936252554651</v>
      </c>
      <c r="G7" s="478">
        <f>landbouw!G8</f>
        <v>0</v>
      </c>
      <c r="H7" s="478">
        <f>landbouw!H8</f>
        <v>0</v>
      </c>
      <c r="I7" s="478">
        <f>landbouw!I8</f>
        <v>0</v>
      </c>
      <c r="J7" s="478">
        <f>landbouw!J8</f>
        <v>137.81004640994382</v>
      </c>
      <c r="K7" s="478">
        <f>landbouw!K8</f>
        <v>0</v>
      </c>
      <c r="L7" s="478">
        <f>landbouw!L8</f>
        <v>0</v>
      </c>
      <c r="M7" s="478">
        <f>landbouw!M8</f>
        <v>0</v>
      </c>
      <c r="N7" s="478">
        <f>landbouw!N8</f>
        <v>0</v>
      </c>
      <c r="O7" s="478">
        <f>landbouw!O8</f>
        <v>0</v>
      </c>
      <c r="P7" s="479">
        <f>landbouw!P8</f>
        <v>0</v>
      </c>
      <c r="Q7" s="477">
        <f t="shared" si="0"/>
        <v>5231.0897022891404</v>
      </c>
    </row>
    <row r="8" spans="1:17">
      <c r="A8" s="477" t="s">
        <v>635</v>
      </c>
      <c r="B8" s="478">
        <f>industrie!B18</f>
        <v>4890.89905</v>
      </c>
      <c r="C8" s="478">
        <f>industrie!C18</f>
        <v>0</v>
      </c>
      <c r="D8" s="478">
        <f>industrie!D18</f>
        <v>1121.1221384</v>
      </c>
      <c r="E8" s="478">
        <f>industrie!E18</f>
        <v>186.05434646071561</v>
      </c>
      <c r="F8" s="478">
        <f>industrie!F18</f>
        <v>674.27979613942557</v>
      </c>
      <c r="G8" s="478">
        <f>industrie!G18</f>
        <v>0</v>
      </c>
      <c r="H8" s="478">
        <f>industrie!H18</f>
        <v>0</v>
      </c>
      <c r="I8" s="478">
        <f>industrie!I18</f>
        <v>0</v>
      </c>
      <c r="J8" s="478">
        <f>industrie!J18</f>
        <v>0.39991057938097596</v>
      </c>
      <c r="K8" s="478">
        <f>industrie!K18</f>
        <v>0</v>
      </c>
      <c r="L8" s="478">
        <f>industrie!L18</f>
        <v>0</v>
      </c>
      <c r="M8" s="478">
        <f>industrie!M18</f>
        <v>0</v>
      </c>
      <c r="N8" s="478">
        <f>industrie!N18</f>
        <v>7763.8535104415232</v>
      </c>
      <c r="O8" s="478">
        <f>industrie!O18</f>
        <v>0</v>
      </c>
      <c r="P8" s="479">
        <f>industrie!P18</f>
        <v>0</v>
      </c>
      <c r="Q8" s="477">
        <f t="shared" si="0"/>
        <v>14636.608752021046</v>
      </c>
    </row>
    <row r="9" spans="1:17" s="483" customFormat="1">
      <c r="A9" s="481" t="s">
        <v>561</v>
      </c>
      <c r="B9" s="482">
        <f>transport!B14</f>
        <v>31.669081214757664</v>
      </c>
      <c r="C9" s="482">
        <f>transport!C14</f>
        <v>0</v>
      </c>
      <c r="D9" s="482">
        <f>transport!D14</f>
        <v>117.91146578127503</v>
      </c>
      <c r="E9" s="482">
        <f>transport!E14</f>
        <v>155.79625668972145</v>
      </c>
      <c r="F9" s="482">
        <f>transport!F14</f>
        <v>0</v>
      </c>
      <c r="G9" s="482">
        <f>transport!G14</f>
        <v>57159.292027025622</v>
      </c>
      <c r="H9" s="482">
        <f>transport!H14</f>
        <v>13246.068610739147</v>
      </c>
      <c r="I9" s="482">
        <f>transport!I14</f>
        <v>0</v>
      </c>
      <c r="J9" s="482">
        <f>transport!J14</f>
        <v>0</v>
      </c>
      <c r="K9" s="482">
        <f>transport!K14</f>
        <v>0</v>
      </c>
      <c r="L9" s="482">
        <f>transport!L14</f>
        <v>0</v>
      </c>
      <c r="M9" s="482">
        <f>transport!M14</f>
        <v>3732.6958706714613</v>
      </c>
      <c r="N9" s="482">
        <f>transport!N14</f>
        <v>0</v>
      </c>
      <c r="O9" s="482">
        <f>transport!O14</f>
        <v>0</v>
      </c>
      <c r="P9" s="482">
        <f>transport!P14</f>
        <v>0</v>
      </c>
      <c r="Q9" s="481">
        <f>SUM(B9:P9)</f>
        <v>74443.433312121982</v>
      </c>
    </row>
    <row r="10" spans="1:17">
      <c r="A10" s="477" t="s">
        <v>551</v>
      </c>
      <c r="B10" s="478">
        <f>transport!B54</f>
        <v>0</v>
      </c>
      <c r="C10" s="478">
        <f>transport!C54</f>
        <v>0</v>
      </c>
      <c r="D10" s="478">
        <f>transport!D54</f>
        <v>0</v>
      </c>
      <c r="E10" s="478">
        <f>transport!E54</f>
        <v>0</v>
      </c>
      <c r="F10" s="478">
        <f>transport!F54</f>
        <v>0</v>
      </c>
      <c r="G10" s="478">
        <f>transport!G54</f>
        <v>2669.0960335417885</v>
      </c>
      <c r="H10" s="478">
        <f>transport!H54</f>
        <v>0</v>
      </c>
      <c r="I10" s="478">
        <f>transport!I54</f>
        <v>0</v>
      </c>
      <c r="J10" s="478">
        <f>transport!J54</f>
        <v>0</v>
      </c>
      <c r="K10" s="478">
        <f>transport!K54</f>
        <v>0</v>
      </c>
      <c r="L10" s="478">
        <f>transport!L54</f>
        <v>0</v>
      </c>
      <c r="M10" s="478">
        <f>transport!M54</f>
        <v>151.59287177685576</v>
      </c>
      <c r="N10" s="478">
        <f>transport!N54</f>
        <v>0</v>
      </c>
      <c r="O10" s="478">
        <f>transport!O54</f>
        <v>0</v>
      </c>
      <c r="P10" s="479">
        <f>transport!P54</f>
        <v>0</v>
      </c>
      <c r="Q10" s="477">
        <f t="shared" si="0"/>
        <v>2820.6889053186442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40289.097976329918</v>
      </c>
      <c r="C14" s="488">
        <f t="shared" ref="C14:Q14" ca="1" si="1">SUM(C4:C13)</f>
        <v>0</v>
      </c>
      <c r="D14" s="488">
        <f t="shared" ca="1" si="1"/>
        <v>45768.231497581277</v>
      </c>
      <c r="E14" s="488">
        <f t="shared" si="1"/>
        <v>5661.3396920046353</v>
      </c>
      <c r="F14" s="488">
        <f t="shared" ca="1" si="1"/>
        <v>36272.311540104572</v>
      </c>
      <c r="G14" s="488">
        <f t="shared" si="1"/>
        <v>59828.388060567413</v>
      </c>
      <c r="H14" s="488">
        <f t="shared" si="1"/>
        <v>13246.068610739147</v>
      </c>
      <c r="I14" s="488">
        <f t="shared" si="1"/>
        <v>0</v>
      </c>
      <c r="J14" s="488">
        <f t="shared" si="1"/>
        <v>138.24156786159384</v>
      </c>
      <c r="K14" s="488">
        <f t="shared" si="1"/>
        <v>0</v>
      </c>
      <c r="L14" s="488">
        <f t="shared" ca="1" si="1"/>
        <v>0</v>
      </c>
      <c r="M14" s="488">
        <f t="shared" si="1"/>
        <v>3884.288742448317</v>
      </c>
      <c r="N14" s="488">
        <f t="shared" ca="1" si="1"/>
        <v>14802.818856013444</v>
      </c>
      <c r="O14" s="488">
        <f t="shared" si="1"/>
        <v>200.10666666666665</v>
      </c>
      <c r="P14" s="489">
        <f t="shared" si="1"/>
        <v>1067.7333333333333</v>
      </c>
      <c r="Q14" s="489">
        <f t="shared" ca="1" si="1"/>
        <v>221158.62654365032</v>
      </c>
    </row>
    <row r="16" spans="1:17">
      <c r="A16" s="491" t="s">
        <v>556</v>
      </c>
      <c r="B16" s="841">
        <f ca="1">huishoudens!B10</f>
        <v>0.19746883593816558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4161.8389280879446</v>
      </c>
      <c r="C21" s="478">
        <f t="shared" ref="C21:C30" ca="1" si="3">C4*$C$16</f>
        <v>0</v>
      </c>
      <c r="D21" s="478">
        <f t="shared" ref="D21:D30" si="4">D4*$D$16</f>
        <v>7290.5283786940008</v>
      </c>
      <c r="E21" s="478">
        <f t="shared" ref="E21:E30" si="5">E4*$E$16</f>
        <v>1144.564536730878</v>
      </c>
      <c r="F21" s="478">
        <f t="shared" ref="F21:F30" si="6">F4*$F$16</f>
        <v>7850.1543460447665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20447.086189557587</v>
      </c>
    </row>
    <row r="22" spans="1:17">
      <c r="A22" s="477" t="s">
        <v>156</v>
      </c>
      <c r="B22" s="478">
        <f t="shared" ca="1" si="2"/>
        <v>2409.4851255958224</v>
      </c>
      <c r="C22" s="478">
        <f t="shared" ca="1" si="3"/>
        <v>0</v>
      </c>
      <c r="D22" s="478">
        <f t="shared" ca="1" si="4"/>
        <v>1673.7835569048</v>
      </c>
      <c r="E22" s="478">
        <f t="shared" si="5"/>
        <v>56.612794205437908</v>
      </c>
      <c r="F22" s="478">
        <f t="shared" ca="1" si="6"/>
        <v>596.48093165071862</v>
      </c>
      <c r="G22" s="478">
        <f t="shared" si="7"/>
        <v>0</v>
      </c>
      <c r="H22" s="478">
        <f t="shared" si="8"/>
        <v>0</v>
      </c>
      <c r="I22" s="478">
        <f t="shared" si="9"/>
        <v>0</v>
      </c>
      <c r="J22" s="478">
        <f t="shared" si="10"/>
        <v>1.119024878323624E-2</v>
      </c>
      <c r="K22" s="478">
        <f t="shared" si="11"/>
        <v>0</v>
      </c>
      <c r="L22" s="478">
        <f t="shared" ca="1" si="12"/>
        <v>0</v>
      </c>
      <c r="M22" s="478">
        <f t="shared" si="13"/>
        <v>0</v>
      </c>
      <c r="N22" s="478">
        <f t="shared" ca="1" si="14"/>
        <v>0</v>
      </c>
      <c r="O22" s="478">
        <f t="shared" si="15"/>
        <v>0</v>
      </c>
      <c r="P22" s="479">
        <f t="shared" si="16"/>
        <v>0</v>
      </c>
      <c r="Q22" s="477">
        <f t="shared" ref="Q22:Q30" ca="1" si="17">SUM(B22:P22)</f>
        <v>4736.3735986055626</v>
      </c>
    </row>
    <row r="23" spans="1:17">
      <c r="A23" s="477" t="s">
        <v>194</v>
      </c>
      <c r="B23" s="478">
        <f t="shared" ca="1" si="2"/>
        <v>224.62889710193681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224.62889710193681</v>
      </c>
    </row>
    <row r="24" spans="1:17">
      <c r="A24" s="477" t="s">
        <v>112</v>
      </c>
      <c r="B24" s="478">
        <f t="shared" ca="1" si="2"/>
        <v>187.83452890157844</v>
      </c>
      <c r="C24" s="478">
        <f t="shared" ca="1" si="3"/>
        <v>0</v>
      </c>
      <c r="D24" s="478">
        <f t="shared" si="4"/>
        <v>30.586038868000003</v>
      </c>
      <c r="E24" s="478">
        <f t="shared" si="5"/>
        <v>6.3466922335871585</v>
      </c>
      <c r="F24" s="478">
        <f t="shared" si="6"/>
        <v>1058.0391979432093</v>
      </c>
      <c r="G24" s="478">
        <f t="shared" si="7"/>
        <v>0</v>
      </c>
      <c r="H24" s="478">
        <f t="shared" si="8"/>
        <v>0</v>
      </c>
      <c r="I24" s="478">
        <f t="shared" si="9"/>
        <v>0</v>
      </c>
      <c r="J24" s="478">
        <f t="shared" si="10"/>
        <v>48.784756429120108</v>
      </c>
      <c r="K24" s="478">
        <f t="shared" si="11"/>
        <v>0</v>
      </c>
      <c r="L24" s="478">
        <f t="shared" si="12"/>
        <v>0</v>
      </c>
      <c r="M24" s="478">
        <f t="shared" si="13"/>
        <v>0</v>
      </c>
      <c r="N24" s="478">
        <f t="shared" si="14"/>
        <v>0</v>
      </c>
      <c r="O24" s="478">
        <f t="shared" si="15"/>
        <v>0</v>
      </c>
      <c r="P24" s="479">
        <f t="shared" si="16"/>
        <v>0</v>
      </c>
      <c r="Q24" s="477">
        <f t="shared" ca="1" si="17"/>
        <v>1331.5912143754949</v>
      </c>
    </row>
    <row r="25" spans="1:17">
      <c r="A25" s="477" t="s">
        <v>635</v>
      </c>
      <c r="B25" s="478">
        <f t="shared" ca="1" si="2"/>
        <v>965.80014209457988</v>
      </c>
      <c r="C25" s="478">
        <f t="shared" ca="1" si="3"/>
        <v>0</v>
      </c>
      <c r="D25" s="478">
        <f t="shared" si="4"/>
        <v>226.46667195680001</v>
      </c>
      <c r="E25" s="478">
        <f t="shared" si="5"/>
        <v>42.234336646582442</v>
      </c>
      <c r="F25" s="478">
        <f t="shared" si="6"/>
        <v>180.03270556922664</v>
      </c>
      <c r="G25" s="478">
        <f t="shared" si="7"/>
        <v>0</v>
      </c>
      <c r="H25" s="478">
        <f t="shared" si="8"/>
        <v>0</v>
      </c>
      <c r="I25" s="478">
        <f t="shared" si="9"/>
        <v>0</v>
      </c>
      <c r="J25" s="478">
        <f t="shared" si="10"/>
        <v>0.14156834510086549</v>
      </c>
      <c r="K25" s="478">
        <f t="shared" si="11"/>
        <v>0</v>
      </c>
      <c r="L25" s="478">
        <f t="shared" si="12"/>
        <v>0</v>
      </c>
      <c r="M25" s="478">
        <f t="shared" si="13"/>
        <v>0</v>
      </c>
      <c r="N25" s="478">
        <f t="shared" si="14"/>
        <v>0</v>
      </c>
      <c r="O25" s="478">
        <f t="shared" si="15"/>
        <v>0</v>
      </c>
      <c r="P25" s="479">
        <f t="shared" si="16"/>
        <v>0</v>
      </c>
      <c r="Q25" s="477">
        <f t="shared" ca="1" si="17"/>
        <v>1414.67542461229</v>
      </c>
    </row>
    <row r="26" spans="1:17" s="483" customFormat="1">
      <c r="A26" s="481" t="s">
        <v>561</v>
      </c>
      <c r="B26" s="835">
        <f t="shared" ca="1" si="2"/>
        <v>6.2536566027094231</v>
      </c>
      <c r="C26" s="482">
        <f t="shared" ca="1" si="3"/>
        <v>0</v>
      </c>
      <c r="D26" s="482">
        <f t="shared" si="4"/>
        <v>23.818116087817558</v>
      </c>
      <c r="E26" s="482">
        <f t="shared" si="5"/>
        <v>35.365750268566771</v>
      </c>
      <c r="F26" s="482">
        <f t="shared" si="6"/>
        <v>0</v>
      </c>
      <c r="G26" s="482">
        <f t="shared" si="7"/>
        <v>15261.530971215841</v>
      </c>
      <c r="H26" s="482">
        <f t="shared" si="8"/>
        <v>3298.2710840740474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18625.239578248984</v>
      </c>
    </row>
    <row r="27" spans="1:17">
      <c r="A27" s="477" t="s">
        <v>551</v>
      </c>
      <c r="B27" s="478">
        <f t="shared" ca="1" si="2"/>
        <v>0</v>
      </c>
      <c r="C27" s="478">
        <f t="shared" ca="1" si="3"/>
        <v>0</v>
      </c>
      <c r="D27" s="478">
        <f t="shared" si="4"/>
        <v>0</v>
      </c>
      <c r="E27" s="478">
        <f t="shared" si="5"/>
        <v>0</v>
      </c>
      <c r="F27" s="478">
        <f t="shared" si="6"/>
        <v>0</v>
      </c>
      <c r="G27" s="478">
        <f t="shared" si="7"/>
        <v>712.64864095565758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712.64864095565758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7955.8412783845724</v>
      </c>
      <c r="C31" s="488">
        <f t="shared" ca="1" si="18"/>
        <v>0</v>
      </c>
      <c r="D31" s="488">
        <f t="shared" ca="1" si="18"/>
        <v>9245.1827625114165</v>
      </c>
      <c r="E31" s="488">
        <f t="shared" si="18"/>
        <v>1285.1241100850523</v>
      </c>
      <c r="F31" s="488">
        <f t="shared" ca="1" si="18"/>
        <v>9684.7071812079212</v>
      </c>
      <c r="G31" s="488">
        <f t="shared" si="18"/>
        <v>15974.1796121715</v>
      </c>
      <c r="H31" s="488">
        <f t="shared" si="18"/>
        <v>3298.2710840740474</v>
      </c>
      <c r="I31" s="488">
        <f t="shared" si="18"/>
        <v>0</v>
      </c>
      <c r="J31" s="488">
        <f t="shared" si="18"/>
        <v>48.93751502300421</v>
      </c>
      <c r="K31" s="488">
        <f t="shared" si="18"/>
        <v>0</v>
      </c>
      <c r="L31" s="488">
        <f t="shared" ca="1" si="18"/>
        <v>0</v>
      </c>
      <c r="M31" s="488">
        <f t="shared" si="18"/>
        <v>0</v>
      </c>
      <c r="N31" s="488">
        <f t="shared" ca="1" si="18"/>
        <v>0</v>
      </c>
      <c r="O31" s="488">
        <f t="shared" si="18"/>
        <v>0</v>
      </c>
      <c r="P31" s="489">
        <f t="shared" si="18"/>
        <v>0</v>
      </c>
      <c r="Q31" s="489">
        <f t="shared" ca="1" si="18"/>
        <v>47492.243543457516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0.19746883593816558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0.19746883593816558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0.19746883593816558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2018-09-06T12:46:41Z</dcterms:modified>
</cp:coreProperties>
</file>