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R59"/>
  <c r="Q59"/>
  <c r="P59"/>
  <c r="O59"/>
  <c r="N59"/>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13" i="15" l="1"/>
  <c r="F6" i="17"/>
  <c r="D16" i="16"/>
  <c r="C13" i="15"/>
  <c r="C16" s="1"/>
  <c r="D10" i="14" s="1"/>
  <c r="L6" i="17"/>
  <c r="L5" s="1"/>
  <c r="L16" i="16"/>
  <c r="L18"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Q13" i="14" l="1"/>
  <c r="J7" i="48"/>
  <c r="J2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41" s="1"/>
  <c r="Q53" s="1"/>
  <c r="Q10"/>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Q15" i="14" l="1"/>
  <c r="Q23" s="1"/>
  <c r="Q55" s="1"/>
  <c r="N7" i="48"/>
  <c r="N24" s="1"/>
  <c r="P13" i="14"/>
  <c r="E7" i="48"/>
  <c r="E24" s="1"/>
  <c r="P31"/>
  <c r="E12" i="17"/>
  <c r="F48" i="14" s="1"/>
  <c r="O8" i="48"/>
  <c r="O25" s="1"/>
  <c r="J16" i="15"/>
  <c r="K10" i="14" s="1"/>
  <c r="E16" i="15"/>
  <c r="F10" i="14" s="1"/>
  <c r="D8" i="48"/>
  <c r="D25" s="1"/>
  <c r="P41" i="14"/>
  <c r="P53"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B22" s="1"/>
  <c r="N5" i="16"/>
  <c r="F5" i="48"/>
  <c r="F22" s="1"/>
  <c r="E5" i="16"/>
  <c r="J5"/>
  <c r="C35" i="13"/>
  <c r="F5" i="16"/>
  <c r="C36" i="13"/>
  <c r="O22" i="48"/>
  <c r="O31" s="1"/>
  <c r="N12" i="13"/>
  <c r="O37" i="14" s="1"/>
  <c r="O11"/>
  <c r="C38" i="13"/>
  <c r="C39"/>
  <c r="C32"/>
  <c r="C34"/>
  <c r="E4" i="48"/>
  <c r="E21" s="1"/>
  <c r="F11" i="14"/>
  <c r="J4" i="48"/>
  <c r="J12" i="13"/>
  <c r="K37" i="14" s="1"/>
  <c r="K11"/>
  <c r="N5" i="48"/>
  <c r="L20" i="15"/>
  <c r="D31" i="48" l="1"/>
  <c r="E5"/>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F22" i="16"/>
  <c r="G39" i="14" s="1"/>
  <c r="G41" s="1"/>
  <c r="F8" i="48"/>
  <c r="Q4"/>
  <c r="N22"/>
  <c r="R11" i="14"/>
  <c r="J21" i="48"/>
  <c r="R10" i="14"/>
  <c r="Q5" i="48" l="1"/>
  <c r="N22" i="16"/>
  <c r="O39" i="14" s="1"/>
  <c r="O41" s="1"/>
  <c r="O53" s="1"/>
  <c r="E8" i="48"/>
  <c r="E25" s="1"/>
  <c r="E31" s="1"/>
  <c r="F13" i="14"/>
  <c r="F15" s="1"/>
  <c r="F23" s="1"/>
  <c r="F55" s="1"/>
  <c r="J22" i="16"/>
  <c r="K39" i="14" s="1"/>
  <c r="K41" s="1"/>
  <c r="K53" s="1"/>
  <c r="K55" s="1"/>
  <c r="J8" i="48"/>
  <c r="J25" s="1"/>
  <c r="J31" s="1"/>
  <c r="N25"/>
  <c r="N31" s="1"/>
  <c r="N14"/>
  <c r="N55" i="14"/>
  <c r="H55"/>
  <c r="E55"/>
  <c r="C78"/>
  <c r="C81" s="1"/>
  <c r="J14" i="48"/>
  <c r="R19" i="14"/>
  <c r="R20" s="1"/>
  <c r="H14" i="48"/>
  <c r="G31"/>
  <c r="H26"/>
  <c r="H31" s="1"/>
  <c r="G53" i="14"/>
  <c r="G55" s="1"/>
  <c r="O69" s="1"/>
  <c r="B9" i="6" s="1"/>
  <c r="B12" s="1"/>
  <c r="M53" i="14"/>
  <c r="M55" s="1"/>
  <c r="C12" i="13"/>
  <c r="D37" i="14" s="1"/>
  <c r="D41" s="1"/>
  <c r="C23" i="48"/>
  <c r="C24"/>
  <c r="C27"/>
  <c r="C28"/>
  <c r="C22"/>
  <c r="C25"/>
  <c r="C29"/>
  <c r="C21"/>
  <c r="C26"/>
  <c r="F25"/>
  <c r="F31" s="1"/>
  <c r="F14"/>
  <c r="R13" i="14" l="1"/>
  <c r="R15" s="1"/>
  <c r="R23" s="1"/>
  <c r="E14" i="48"/>
  <c r="Q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<sst xmlns="http://schemas.openxmlformats.org/spreadsheetml/2006/main" count="1914" uniqueCount="809">
  <si>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</si>
  <si>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</si>
  <si>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</si>
  <si>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</si>
  <si>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</si>
  <si>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</si>
  <si>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</si>
  <si>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</si>
  <si>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</si>
  <si>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</si>
  <si>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</si>
  <si>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</si>
  <si>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</si>
  <si>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</si>
  <si>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</si>
  <si>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</si>
  <si>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</si>
  <si>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</si>
  <si>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</si>
  <si>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</si>
  <si>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</si>
  <si>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</si>
  <si>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</si>
  <si>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</si>
  <si>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</si>
  <si>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</si>
  <si>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</si>
  <si>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</si>
  <si>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</si>
  <si>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</si>
  <si>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</si>
  <si>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</si>
  <si>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</si>
  <si>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</si>
  <si>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</si>
  <si>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</si>
  <si>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</si>
  <si>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</si>
  <si>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</si>
  <si>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</si>
  <si>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</si>
  <si>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</si>
  <si>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</si>
  <si>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</si>
  <si>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</si>
  <si>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</si>
  <si>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</si>
  <si>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</si>
  <si>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</si>
  <si>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</si>
  <si>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</si>
  <si>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</si>
  <si>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</si>
  <si>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</si>
  <si>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</si>
  <si>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</si>
  <si>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</si>
  <si>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</si>
  <si>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</si>
  <si>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</si>
  <si>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</si>
  <si>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</si>
  <si>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</si>
  <si>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</si>
  <si>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</si>
  <si>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</si>
  <si>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</si>
  <si>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</si>
  <si>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</si>
  <si>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</si>
  <si>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</si>
  <si>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</si>
  <si>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</si>
  <si>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</si>
  <si>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</si>
  <si>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</si>
  <si>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</si>
  <si>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</si>
  <si>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</si>
  <si>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</si>
  <si>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</si>
  <si>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</si>
  <si>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</si>
  <si>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</si>
  <si>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</si>
  <si>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</si>
  <si>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</si>
  <si>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</si>
  <si>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</si>
  <si>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</si>
  <si>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</si>
  <si>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</si>
  <si>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</si>
  <si>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</si>
  <si>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</si>
  <si>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</si>
  <si>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</si>
  <si>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</si>
  <si>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</si>
  <si>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</si>
  <si>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</si>
  <si>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</si>
  <si>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</si>
  <si>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</si>
  <si>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</si>
  <si>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</si>
  <si>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</si>
  <si>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</si>
  <si>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</si>
  <si>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</si>
  <si>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</si>
  <si>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</si>
  <si>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</si>
  <si>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</si>
  <si>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</si>
  <si>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</si>
  <si>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</si>
  <si>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</si>
  <si>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</si>
  <si>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</si>
  <si>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</si>
  <si>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</si>
  <si>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</si>
  <si>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</si>
  <si>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</si>
  <si>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</si>
  <si>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</si>
  <si>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</si>
  <si>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</si>
  <si>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</si>
  <si>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</si>
  <si>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</si>
  <si>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</si>
  <si>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</si>
  <si>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</si>
  <si>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</si>
  <si>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</si>
  <si>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</si>
  <si>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</si>
  <si>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</si>
  <si>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</si>
  <si>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</si>
  <si>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</si>
  <si>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</si>
  <si>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</si>
  <si>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</si>
  <si>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</si>
  <si>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</si>
  <si>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</si>
  <si>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</si>
  <si>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</si>
  <si>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</si>
  <si>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</si>
  <si>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</si>
  <si>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</si>
  <si>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</si>
  <si>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</si>
  <si>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</si>
  <si>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</si>
  <si>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</si>
  <si>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</si>
  <si>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</si>
  <si>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</si>
  <si>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</si>
  <si>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</si>
  <si>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</si>
  <si>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</si>
  <si>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</si>
  <si>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</si>
  <si>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</si>
  <si>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</si>
  <si>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</si>
  <si>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</si>
  <si>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</si>
  <si>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</si>
  <si>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</si>
  <si>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</si>
  <si>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</si>
  <si>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</si>
  <si>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</si>
  <si>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</si>
  <si>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</si>
  <si>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</si>
  <si>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</si>
  <si>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</si>
  <si>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</si>
  <si>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</si>
  <si>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</si>
  <si>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</si>
  <si>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</si>
  <si>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</si>
  <si>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</si>
  <si>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</si>
  <si>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</si>
  <si>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</si>
  <si>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</si>
  <si>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</si>
  <si>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</si>
  <si>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</si>
  <si>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</si>
  <si>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</si>
  <si>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</si>
  <si>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</si>
  <si>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</si>
  <si>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</si>
  <si>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</si>
  <si>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</si>
  <si>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</si>
  <si>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</si>
  <si>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</si>
  <si>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</si>
  <si>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</si>
  <si>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</si>
  <si>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</si>
  <si>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</si>
  <si>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</si>
  <si>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</si>
  <si>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</si>
  <si>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</si>
  <si>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</si>
  <si>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</si>
  <si>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</si>
  <si>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</si>
  <si>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</si>
  <si>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</si>
  <si>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</si>
  <si>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</si>
  <si>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</si>
  <si>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</si>
  <si>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</si>
  <si>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</si>
  <si>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</si>
  <si>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</si>
  <si>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</si>
  <si>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</si>
  <si>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</si>
  <si>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</si>
  <si>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</si>
  <si>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</si>
  <si>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</si>
  <si>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</si>
  <si>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</si>
  <si>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</si>
  <si>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</si>
  <si>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</si>
  <si>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</si>
  <si>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</si>
  <si>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</si>
  <si>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</si>
  <si>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</si>
  <si>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</si>
  <si>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</si>
  <si>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</si>
  <si>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</si>
  <si>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</si>
  <si>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</si>
  <si>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</si>
  <si>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</si>
  <si>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</si>
  <si>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</si>
  <si>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</si>
  <si>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</si>
  <si>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</si>
  <si>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</si>
  <si>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</si>
  <si>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</si>
  <si>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</si>
  <si>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</si>
  <si>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</si>
  <si>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</si>
  <si>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</si>
  <si>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</si>
  <si>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</si>
  <si>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</si>
  <si>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</si>
  <si>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</si>
  <si>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</si>
  <si>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</si>
  <si>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</si>
  <si>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</si>
  <si>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</si>
  <si>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</si>
  <si>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</si>
  <si>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</si>
  <si>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</si>
  <si>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</si>
  <si>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</si>
  <si>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</si>
  <si>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</si>
  <si>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</si>
  <si>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</si>
  <si>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</si>
  <si>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</si>
  <si>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</si>
  <si>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</si>
  <si>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</si>
  <si>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</si>
  <si>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</si>
  <si>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</si>
  <si>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</si>
  <si>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</si>
  <si>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</si>
  <si>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</si>
  <si>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</si>
  <si>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</si>
  <si>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</si>
  <si>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</si>
  <si>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</si>
  <si>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</si>
  <si>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</si>
  <si>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</si>
  <si>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</si>
  <si>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</si>
  <si>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</si>
  <si>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</si>
  <si>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</si>
  <si>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</si>
  <si>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</si>
  <si>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</si>
  <si>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</si>
  <si>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</si>
  <si>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</si>
  <si>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</si>
  <si>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</si>
  <si>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</si>
  <si>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</si>
  <si>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</si>
  <si>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</si>
  <si>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</si>
  <si>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</si>
  <si>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</si>
  <si>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</si>
  <si>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</si>
  <si>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</si>
  <si>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</si>
  <si>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</si>
  <si>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</si>
  <si>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</si>
  <si>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</si>
  <si>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</si>
  <si>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</si>
  <si>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</si>
  <si>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</si>
  <si>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</si>
  <si>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</si>
  <si>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</si>
  <si>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</si>
  <si>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</si>
  <si>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</si>
  <si>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</si>
  <si>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</si>
  <si>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</si>
  <si>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</si>
  <si>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</si>
  <si>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</si>
  <si>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</si>
  <si>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</si>
  <si>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</si>
  <si>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</si>
  <si>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</si>
  <si>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</si>
  <si>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</si>
  <si>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</si>
  <si>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</si>
  <si>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</si>
  <si>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</si>
  <si>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</si>
  <si>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</si>
  <si>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</si>
  <si>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</si>
  <si>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</si>
  <si>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</si>
  <si>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</si>
  <si>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</si>
  <si>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</si>
  <si>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</si>
  <si>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</si>
  <si>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</si>
  <si>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</si>
  <si>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</si>
  <si>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</si>
  <si>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</si>
  <si>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</si>
  <si>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</si>
  <si>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</si>
  <si>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</si>
  <si>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</si>
  <si>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</si>
  <si>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</si>
  <si>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</si>
  <si>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</si>
  <si>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</si>
  <si>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</si>
  <si>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</si>
  <si>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</si>
  <si>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</si>
  <si>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</si>
  <si>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</si>
  <si>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</si>
  <si>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</si>
  <si>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</si>
  <si>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</si>
  <si>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</si>
  <si>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</si>
  <si>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</si>
  <si>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</si>
  <si>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</si>
  <si>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</si>
  <si>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</si>
  <si>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</si>
  <si>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</si>
  <si>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</si>
  <si>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</si>
  <si>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</si>
  <si>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</si>
  <si>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</si>
  <si>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</si>
  <si>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</si>
  <si>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</si>
  <si>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</si>
  <si>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</si>
  <si>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</si>
  <si>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</si>
  <si>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</si>
  <si>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</si>
  <si>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</si>
  <si>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</si>
  <si>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</si>
  <si>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</si>
  <si>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</si>
  <si>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</si>
  <si>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</si>
  <si>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</si>
  <si>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</si>
  <si>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</si>
  <si>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</si>
  <si>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</si>
  <si>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</si>
  <si>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</si>
  <si>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</si>
  <si>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</si>
  <si>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</si>
  <si>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</si>
  <si>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</si>
  <si>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</si>
  <si>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</si>
  <si>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</si>
  <si>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</si>
  <si>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</si>
  <si>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</si>
  <si>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</si>
  <si>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</si>
  <si>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</si>
  <si>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</si>
  <si>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</si>
  <si>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</si>
  <si>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</si>
  <si>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</si>
  <si>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</si>
  <si>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</si>
  <si>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</si>
  <si>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</si>
  <si>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</si>
  <si>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</si>
  <si>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</si>
  <si>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</si>
  <si>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</si>
  <si>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</si>
  <si>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</si>
  <si>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</si>
  <si>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</si>
  <si>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</si>
  <si>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</si>
  <si>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</si>
  <si>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</si>
  <si>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</si>
  <si>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</si>
  <si>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</si>
  <si>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</si>
  <si>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</si>
  <si>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</si>
  <si>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</si>
  <si>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</si>
  <si>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</si>
  <si>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</si>
  <si>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</si>
  <si>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</si>
  <si>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</si>
  <si>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</si>
  <si>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</si>
  <si>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</si>
  <si>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</si>
  <si>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</si>
  <si>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</si>
  <si>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</si>
  <si>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</si>
  <si>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</si>
  <si>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</si>
  <si>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</si>
  <si>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</si>
  <si>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</si>
  <si>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</si>
  <si>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</si>
  <si>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</si>
  <si>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</si>
  <si>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</si>
  <si>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</si>
  <si>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</si>
  <si>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</si>
  <si>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</si>
  <si>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</si>
  <si>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</si>
  <si>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</si>
  <si>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</si>
  <si>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</si>
  <si>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</si>
  <si>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</si>
  <si>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</si>
  <si>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</si>
  <si>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</si>
  <si>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</si>
  <si>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</si>
  <si>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</si>
  <si>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</si>
  <si>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</si>
  <si>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</si>
  <si>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</si>
  <si>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</si>
  <si>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</si>
  <si>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</si>
  <si>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</si>
  <si>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</si>
  <si>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</si>
  <si>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</si>
  <si>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</si>
  <si>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</si>
  <si>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</si>
  <si>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</si>
  <si>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</si>
  <si>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</si>
  <si>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</si>
  <si>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</si>
  <si>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</si>
  <si>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</si>
  <si>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</si>
  <si>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</si>
  <si>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</si>
  <si>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</si>
  <si>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</si>
  <si>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</si>
  <si>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</si>
  <si>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</si>
  <si>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</si>
  <si>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</si>
  <si>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</si>
  <si>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</si>
  <si>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</si>
  <si>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</si>
  <si>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</si>
  <si>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</si>
  <si>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</si>
  <si>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</si>
  <si>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</si>
  <si>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</si>
  <si>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</si>
  <si>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</si>
  <si>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</si>
  <si>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</si>
  <si>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</si>
  <si>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</si>
  <si>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</si>
  <si>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</si>
  <si>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</si>
  <si>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</si>
  <si>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</si>
  <si>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</si>
  <si>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</si>
  <si>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</si>
  <si>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</si>
  <si>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</si>
  <si>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</si>
  <si>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</si>
  <si>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</si>
  <si>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</si>
  <si>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</si>
  <si>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</si>
  <si>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</si>
  <si>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</si>
  <si>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</si>
  <si>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</si>
  <si>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</si>
  <si>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</si>
  <si>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</si>
  <si>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</si>
  <si>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</si>
  <si>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</si>
  <si>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</si>
  <si>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</si>
  <si>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</si>
  <si>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</si>
  <si>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</si>
  <si>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</si>
  <si>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</si>
  <si>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</si>
  <si>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</si>
  <si>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</si>
  <si>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</si>
  <si>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</si>
  <si>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</si>
  <si>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</si>
  <si>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</si>
  <si>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</si>
  <si>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</si>
  <si>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</si>
  <si>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</si>
  <si>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</si>
  <si>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</si>
  <si>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</si>
  <si>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</si>
  <si>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</si>
  <si>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</si>
  <si>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</si>
  <si>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</si>
  <si>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</si>
  <si>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</si>
  <si>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</si>
  <si>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</si>
  <si>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</si>
  <si>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</si>
  <si>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</si>
  <si>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</si>
  <si>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</si>
  <si>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</si>
  <si>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</si>
  <si>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</si>
  <si>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</si>
  <si>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</si>
  <si>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</si>
  <si>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</si>
  <si>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</si>
  <si>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</si>
  <si>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</si>
  <si>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</si>
  <si>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</si>
  <si>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</si>
  <si>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</si>
  <si>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</si>
  <si>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</si>
  <si>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</si>
  <si>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</si>
  <si>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</si>
  <si>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</si>
  <si>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</si>
  <si>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</si>
  <si>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</si>
  <si>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</si>
  <si>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</si>
  <si>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</si>
  <si>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</si>
  <si>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</si>
  <si>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</si>
  <si>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</si>
  <si>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</si>
  <si>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</si>
  <si>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</si>
  <si>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</si>
  <si>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</si>
  <si>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</si>
  <si>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</si>
  <si>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</si>
  <si>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</si>
  <si>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</si>
  <si>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</si>
  <si>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</si>
  <si>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</si>
  <si>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</si>
  <si>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</si>
  <si>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</si>
  <si>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</si>
  <si>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</si>
  <si>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</si>
  <si>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</si>
  <si>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</si>
  <si>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</si>
  <si>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</si>
  <si>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</si>
  <si>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</si>
  <si>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</si>
  <si>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</si>
  <si>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</si>
  <si>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</si>
  <si>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</si>
  <si>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</si>
  <si>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</si>
  <si>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</si>
  <si>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</si>
  <si>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</si>
  <si>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</si>
  <si>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</si>
  <si>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</si>
  <si>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</si>
  <si>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</si>
  <si>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</si>
  <si>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</si>
  <si>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</si>
  <si>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</si>
  <si>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</si>
  <si>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</si>
  <si>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</si>
  <si>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</si>
  <si>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</si>
  <si>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</si>
  <si>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</si>
  <si>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</si>
  <si>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</si>
  <si>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</si>
  <si>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</si>
  <si>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</si>
  <si>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</si>
  <si>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</si>
  <si>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</si>
  <si>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</si>
  <si>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</si>
  <si>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</si>
  <si>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</si>
  <si>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</si>
  <si>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</si>
  <si>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</si>
  <si>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</si>
  <si>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</si>
  <si>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</si>
  <si>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</si>
  <si>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</si>
  <si>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</si>
  <si>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</si>
  <si>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</si>
  <si>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</si>
  <si>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</si>
  <si>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</si>
  <si>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</si>
  <si>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</si>
  <si>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</si>
  <si>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</si>
  <si>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</si>
  <si>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</si>
  <si>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</si>
  <si>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</si>
  <si>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</si>
  <si>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</si>
  <si>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</si>
  <si>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</si>
  <si>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</si>
  <si>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</si>
  <si>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</si>
  <si>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</si>
  <si>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</si>
  <si>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</si>
  <si>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</si>
  <si>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</si>
  <si>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</si>
  <si>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</si>
  <si>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</si>
  <si>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</si>
  <si>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</si>
  <si>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</si>
  <si>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</si>
  <si>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</si>
  <si>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</si>
  <si>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</si>
  <si>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</si>
  <si>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</si>
  <si>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</si>
  <si>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</si>
  <si>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</si>
  <si>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</si>
  <si>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</si>
  <si>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</si>
  <si>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</si>
  <si>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</si>
  <si>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</si>
  <si>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</si>
  <si>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</si>
  <si>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</si>
  <si>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</si>
  <si>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</si>
  <si>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</si>
  <si>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</si>
  <si>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</si>
  <si>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</si>
  <si>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</si>
  <si>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</si>
  <si>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</si>
  <si>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</si>
  <si>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</si>
  <si>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</si>
  <si>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</si>
  <si>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</si>
  <si>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</si>
  <si>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</si>
  <si>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</si>
  <si>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</si>
  <si>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23032</t>
  </si>
  <si>
    <t>HERNE</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</si>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</sst>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70003.128271163208</c:v>
                </c:pt>
                <c:pt idx="1">
                  <c:v>6325.1929654502492</c:v>
                </c:pt>
                <c:pt idx="2">
                  <c:v>569.34400000000005</c:v>
                </c:pt>
                <c:pt idx="3">
                  <c:v>4978.3868030060512</c:v>
                </c:pt>
                <c:pt idx="4">
                  <c:v>31390.144572581507</c:v>
                </c:pt>
                <c:pt idx="5">
                  <c:v>52285.561226406702</c:v>
                </c:pt>
                <c:pt idx="6">
                  <c:v>388.20820718389444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607232"/>
        <c:axId val="182637696"/>
      </c:barChart>
      <c:catAx>
        <c:axId val="182607232"/>
        <c:scaling>
          <c:orientation val="minMax"/>
        </c:scaling>
        <c:axPos val="b"/>
        <c:numFmt formatCode="General" sourceLinked="0"/>
        <c:tickLblPos val="nextTo"/>
        <c:crossAx val="182637696"/>
        <c:crosses val="autoZero"/>
        <c:auto val="1"/>
        <c:lblAlgn val="ctr"/>
        <c:lblOffset val="100"/>
      </c:catAx>
      <c:valAx>
        <c:axId val="182637696"/>
        <c:scaling>
          <c:orientation val="minMax"/>
        </c:scaling>
        <c:axPos val="l"/>
        <c:majorGridlines/>
        <c:numFmt formatCode="#,##0" sourceLinked="1"/>
        <c:tickLblPos val="nextTo"/>
        <c:crossAx val="1826072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70003.128271163208</c:v>
                </c:pt>
                <c:pt idx="1">
                  <c:v>6325.1929654502492</c:v>
                </c:pt>
                <c:pt idx="2">
                  <c:v>569.34400000000005</c:v>
                </c:pt>
                <c:pt idx="3">
                  <c:v>4978.3868030060512</c:v>
                </c:pt>
                <c:pt idx="4">
                  <c:v>31390.144572581507</c:v>
                </c:pt>
                <c:pt idx="5">
                  <c:v>52285.561226406702</c:v>
                </c:pt>
                <c:pt idx="6">
                  <c:v>388.20820718389444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14648.408107600535</c:v>
                </c:pt>
                <c:pt idx="1">
                  <c:v>1295.0656710167905</c:v>
                </c:pt>
                <c:pt idx="2">
                  <c:v>119.75031533901644</c:v>
                </c:pt>
                <c:pt idx="3">
                  <c:v>1283.7604666000479</c:v>
                </c:pt>
                <c:pt idx="4">
                  <c:v>6326.9697956992313</c:v>
                </c:pt>
                <c:pt idx="5">
                  <c:v>13078.959522219637</c:v>
                </c:pt>
                <c:pt idx="6">
                  <c:v>98.081022240976893</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101696"/>
        <c:axId val="183181312"/>
      </c:barChart>
      <c:catAx>
        <c:axId val="183101696"/>
        <c:scaling>
          <c:orientation val="minMax"/>
        </c:scaling>
        <c:axPos val="b"/>
        <c:numFmt formatCode="General" sourceLinked="0"/>
        <c:tickLblPos val="nextTo"/>
        <c:crossAx val="183181312"/>
        <c:crosses val="autoZero"/>
        <c:auto val="1"/>
        <c:lblAlgn val="ctr"/>
        <c:lblOffset val="100"/>
      </c:catAx>
      <c:valAx>
        <c:axId val="183181312"/>
        <c:scaling>
          <c:orientation val="minMax"/>
        </c:scaling>
        <c:axPos val="l"/>
        <c:majorGridlines/>
        <c:numFmt formatCode="#,##0" sourceLinked="1"/>
        <c:tickLblPos val="nextTo"/>
        <c:crossAx val="1831016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14648.408107600535</c:v>
                </c:pt>
                <c:pt idx="1">
                  <c:v>1295.0656710167905</c:v>
                </c:pt>
                <c:pt idx="2">
                  <c:v>119.75031533901644</c:v>
                </c:pt>
                <c:pt idx="3">
                  <c:v>1283.7604666000479</c:v>
                </c:pt>
                <c:pt idx="4">
                  <c:v>6326.9697956992313</c:v>
                </c:pt>
                <c:pt idx="5">
                  <c:v>13078.959522219637</c:v>
                </c:pt>
                <c:pt idx="6">
                  <c:v>98.081022240976893</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23032</v>
      </c>
      <c r="B6" s="415"/>
      <c r="C6" s="416"/>
    </row>
    <row r="7" spans="1:7" s="413" customFormat="1" ht="15.75" customHeight="1">
      <c r="A7" s="417" t="str">
        <f>txtMunicipality</f>
        <v>HERNE</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4179.7838000000011</v>
      </c>
      <c r="D10" s="718">
        <f ca="1">tertiair!C16</f>
        <v>0</v>
      </c>
      <c r="E10" s="718">
        <f ca="1">tertiair!D16</f>
        <v>1779.177862</v>
      </c>
      <c r="F10" s="718">
        <f>tertiair!E16</f>
        <v>51.836438245246036</v>
      </c>
      <c r="G10" s="718">
        <f ca="1">tertiair!F16</f>
        <v>616.17115385370198</v>
      </c>
      <c r="H10" s="718">
        <f>tertiair!G16</f>
        <v>0</v>
      </c>
      <c r="I10" s="718">
        <f>tertiair!H16</f>
        <v>0</v>
      </c>
      <c r="J10" s="718">
        <f>tertiair!I16</f>
        <v>0</v>
      </c>
      <c r="K10" s="718">
        <f>tertiair!J16</f>
        <v>6.0841708421783044E-3</v>
      </c>
      <c r="L10" s="718">
        <f>tertiair!K16</f>
        <v>0</v>
      </c>
      <c r="M10" s="718">
        <f ca="1">tertiair!L16</f>
        <v>0</v>
      </c>
      <c r="N10" s="718">
        <f>tertiair!M16</f>
        <v>0</v>
      </c>
      <c r="O10" s="718">
        <f ca="1">tertiair!N16</f>
        <v>246.93162718045798</v>
      </c>
      <c r="P10" s="718">
        <f>tertiair!O16</f>
        <v>1.5633333333333335</v>
      </c>
      <c r="Q10" s="719">
        <f>tertiair!P16</f>
        <v>19.066666666666666</v>
      </c>
      <c r="R10" s="721">
        <f ca="1">SUM(C10:Q10)</f>
        <v>6894.5369654502501</v>
      </c>
      <c r="S10" s="67"/>
    </row>
    <row r="11" spans="1:19" s="474" customFormat="1">
      <c r="A11" s="870" t="s">
        <v>225</v>
      </c>
      <c r="B11" s="875"/>
      <c r="C11" s="718">
        <f>huishoudens!B8</f>
        <v>12128.122660840572</v>
      </c>
      <c r="D11" s="718">
        <f>huishoudens!C8</f>
        <v>0</v>
      </c>
      <c r="E11" s="718">
        <f>huishoudens!D8</f>
        <v>8736.6325958999987</v>
      </c>
      <c r="F11" s="718">
        <f>huishoudens!E8</f>
        <v>3922.8273105283652</v>
      </c>
      <c r="G11" s="718">
        <f>huishoudens!F8</f>
        <v>32577.819909655729</v>
      </c>
      <c r="H11" s="718">
        <f>huishoudens!G8</f>
        <v>0</v>
      </c>
      <c r="I11" s="718">
        <f>huishoudens!H8</f>
        <v>0</v>
      </c>
      <c r="J11" s="718">
        <f>huishoudens!I8</f>
        <v>0</v>
      </c>
      <c r="K11" s="718">
        <f>huishoudens!J8</f>
        <v>2101.5154872655235</v>
      </c>
      <c r="L11" s="718">
        <f>huishoudens!K8</f>
        <v>0</v>
      </c>
      <c r="M11" s="718">
        <f>huishoudens!L8</f>
        <v>0</v>
      </c>
      <c r="N11" s="718">
        <f>huishoudens!M8</f>
        <v>0</v>
      </c>
      <c r="O11" s="718">
        <f>huishoudens!N8</f>
        <v>9961.0536403063434</v>
      </c>
      <c r="P11" s="718">
        <f>huishoudens!O8</f>
        <v>98.490000000000009</v>
      </c>
      <c r="Q11" s="719">
        <f>huishoudens!P8</f>
        <v>476.66666666666663</v>
      </c>
      <c r="R11" s="721">
        <f>SUM(C11:Q11)</f>
        <v>70003.128271163208</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11090.8218</v>
      </c>
      <c r="D13" s="718">
        <f>industrie!C18</f>
        <v>0</v>
      </c>
      <c r="E13" s="718">
        <f>industrie!D18</f>
        <v>18290.749686000003</v>
      </c>
      <c r="F13" s="718">
        <f>industrie!E18</f>
        <v>139.85850410939557</v>
      </c>
      <c r="G13" s="718">
        <f>industrie!F18</f>
        <v>1002.8246923810057</v>
      </c>
      <c r="H13" s="718">
        <f>industrie!G18</f>
        <v>0</v>
      </c>
      <c r="I13" s="718">
        <f>industrie!H18</f>
        <v>0</v>
      </c>
      <c r="J13" s="718">
        <f>industrie!I18</f>
        <v>0</v>
      </c>
      <c r="K13" s="718">
        <f>industrie!J18</f>
        <v>0</v>
      </c>
      <c r="L13" s="718">
        <f>industrie!K18</f>
        <v>0</v>
      </c>
      <c r="M13" s="718">
        <f>industrie!L18</f>
        <v>0</v>
      </c>
      <c r="N13" s="718">
        <f>industrie!M18</f>
        <v>0</v>
      </c>
      <c r="O13" s="718">
        <f>industrie!N18</f>
        <v>865.88989009110844</v>
      </c>
      <c r="P13" s="718">
        <f>industrie!O18</f>
        <v>0</v>
      </c>
      <c r="Q13" s="719">
        <f>industrie!P18</f>
        <v>0</v>
      </c>
      <c r="R13" s="721">
        <f>SUM(C13:Q13)</f>
        <v>31390.144572581507</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27398.728260840573</v>
      </c>
      <c r="D15" s="723">
        <f t="shared" ref="D15:Q15" ca="1" si="0">SUM(D9:D14)</f>
        <v>0</v>
      </c>
      <c r="E15" s="723">
        <f t="shared" ca="1" si="0"/>
        <v>28806.560143900002</v>
      </c>
      <c r="F15" s="723">
        <f t="shared" si="0"/>
        <v>4114.5222528830063</v>
      </c>
      <c r="G15" s="723">
        <f t="shared" ca="1" si="0"/>
        <v>34196.815755890435</v>
      </c>
      <c r="H15" s="723">
        <f t="shared" si="0"/>
        <v>0</v>
      </c>
      <c r="I15" s="723">
        <f t="shared" si="0"/>
        <v>0</v>
      </c>
      <c r="J15" s="723">
        <f t="shared" si="0"/>
        <v>0</v>
      </c>
      <c r="K15" s="723">
        <f t="shared" si="0"/>
        <v>2101.5215714363658</v>
      </c>
      <c r="L15" s="723">
        <f t="shared" si="0"/>
        <v>0</v>
      </c>
      <c r="M15" s="723">
        <f t="shared" ca="1" si="0"/>
        <v>0</v>
      </c>
      <c r="N15" s="723">
        <f t="shared" si="0"/>
        <v>0</v>
      </c>
      <c r="O15" s="723">
        <f t="shared" ca="1" si="0"/>
        <v>11073.87515757791</v>
      </c>
      <c r="P15" s="723">
        <f t="shared" si="0"/>
        <v>100.05333333333334</v>
      </c>
      <c r="Q15" s="724">
        <f t="shared" si="0"/>
        <v>495.73333333333329</v>
      </c>
      <c r="R15" s="725">
        <f ca="1">SUM(R9:R14)</f>
        <v>108287.80980919497</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367.34465258792841</v>
      </c>
      <c r="I18" s="718">
        <f>transport!H54</f>
        <v>0</v>
      </c>
      <c r="J18" s="718">
        <f>transport!I54</f>
        <v>0</v>
      </c>
      <c r="K18" s="718">
        <f>transport!J54</f>
        <v>0</v>
      </c>
      <c r="L18" s="718">
        <f>transport!K54</f>
        <v>0</v>
      </c>
      <c r="M18" s="718">
        <f>transport!L54</f>
        <v>0</v>
      </c>
      <c r="N18" s="718">
        <f>transport!M54</f>
        <v>20.863554595966015</v>
      </c>
      <c r="O18" s="718">
        <f>transport!N54</f>
        <v>0</v>
      </c>
      <c r="P18" s="718">
        <f>transport!O54</f>
        <v>0</v>
      </c>
      <c r="Q18" s="719">
        <f>transport!P54</f>
        <v>0</v>
      </c>
      <c r="R18" s="721">
        <f>SUM(C18:Q18)</f>
        <v>388.20820718389444</v>
      </c>
      <c r="S18" s="67"/>
    </row>
    <row r="19" spans="1:19" s="474" customFormat="1" ht="15" thickBot="1">
      <c r="A19" s="870" t="s">
        <v>307</v>
      </c>
      <c r="B19" s="875"/>
      <c r="C19" s="727">
        <f>transport!B14</f>
        <v>25.601237556061395</v>
      </c>
      <c r="D19" s="727">
        <f>transport!C14</f>
        <v>0</v>
      </c>
      <c r="E19" s="727">
        <f>transport!D14</f>
        <v>84.312533787161328</v>
      </c>
      <c r="F19" s="727">
        <f>transport!E14</f>
        <v>113.44750638246776</v>
      </c>
      <c r="G19" s="727">
        <f>transport!F14</f>
        <v>0</v>
      </c>
      <c r="H19" s="727">
        <f>transport!G14</f>
        <v>39911.285431346761</v>
      </c>
      <c r="I19" s="727">
        <f>transport!H14</f>
        <v>9536.0557403842813</v>
      </c>
      <c r="J19" s="727">
        <f>transport!I14</f>
        <v>0</v>
      </c>
      <c r="K19" s="727">
        <f>transport!J14</f>
        <v>0</v>
      </c>
      <c r="L19" s="727">
        <f>transport!K14</f>
        <v>0</v>
      </c>
      <c r="M19" s="727">
        <f>transport!L14</f>
        <v>0</v>
      </c>
      <c r="N19" s="727">
        <f>transport!M14</f>
        <v>2614.8587769499641</v>
      </c>
      <c r="O19" s="727">
        <f>transport!N14</f>
        <v>0</v>
      </c>
      <c r="P19" s="727">
        <f>transport!O14</f>
        <v>0</v>
      </c>
      <c r="Q19" s="728">
        <f>transport!P14</f>
        <v>0</v>
      </c>
      <c r="R19" s="729">
        <f>SUM(C19:Q19)</f>
        <v>52285.561226406702</v>
      </c>
      <c r="S19" s="67"/>
    </row>
    <row r="20" spans="1:19" s="474" customFormat="1" ht="15.75" thickBot="1">
      <c r="A20" s="730" t="s">
        <v>230</v>
      </c>
      <c r="B20" s="878"/>
      <c r="C20" s="873">
        <f>SUM(C17:C19)</f>
        <v>25.601237556061395</v>
      </c>
      <c r="D20" s="731">
        <f t="shared" ref="D20:R20" si="1">SUM(D17:D19)</f>
        <v>0</v>
      </c>
      <c r="E20" s="731">
        <f t="shared" si="1"/>
        <v>84.312533787161328</v>
      </c>
      <c r="F20" s="731">
        <f t="shared" si="1"/>
        <v>113.44750638246776</v>
      </c>
      <c r="G20" s="731">
        <f t="shared" si="1"/>
        <v>0</v>
      </c>
      <c r="H20" s="731">
        <f t="shared" si="1"/>
        <v>40278.630083934688</v>
      </c>
      <c r="I20" s="731">
        <f t="shared" si="1"/>
        <v>9536.0557403842813</v>
      </c>
      <c r="J20" s="731">
        <f t="shared" si="1"/>
        <v>0</v>
      </c>
      <c r="K20" s="731">
        <f t="shared" si="1"/>
        <v>0</v>
      </c>
      <c r="L20" s="731">
        <f t="shared" si="1"/>
        <v>0</v>
      </c>
      <c r="M20" s="731">
        <f t="shared" si="1"/>
        <v>0</v>
      </c>
      <c r="N20" s="731">
        <f t="shared" si="1"/>
        <v>2635.72233154593</v>
      </c>
      <c r="O20" s="731">
        <f t="shared" si="1"/>
        <v>0</v>
      </c>
      <c r="P20" s="731">
        <f t="shared" si="1"/>
        <v>0</v>
      </c>
      <c r="Q20" s="732">
        <f t="shared" si="1"/>
        <v>0</v>
      </c>
      <c r="R20" s="733">
        <f t="shared" si="1"/>
        <v>52673.769433590598</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921.33500000000004</v>
      </c>
      <c r="D22" s="727">
        <f>+landbouw!C8</f>
        <v>0</v>
      </c>
      <c r="E22" s="727">
        <f>+landbouw!D8</f>
        <v>58.257474000000002</v>
      </c>
      <c r="F22" s="727">
        <f>+landbouw!E8</f>
        <v>27.080849731895551</v>
      </c>
      <c r="G22" s="727">
        <f>+landbouw!F8</f>
        <v>3838.2318236697679</v>
      </c>
      <c r="H22" s="727">
        <f>+landbouw!G8</f>
        <v>0</v>
      </c>
      <c r="I22" s="727">
        <f>+landbouw!H8</f>
        <v>0</v>
      </c>
      <c r="J22" s="727">
        <f>+landbouw!I8</f>
        <v>0</v>
      </c>
      <c r="K22" s="727">
        <f>+landbouw!J8</f>
        <v>133.48165560438807</v>
      </c>
      <c r="L22" s="727">
        <f>+landbouw!K8</f>
        <v>0</v>
      </c>
      <c r="M22" s="727">
        <f>+landbouw!L8</f>
        <v>0</v>
      </c>
      <c r="N22" s="727">
        <f>+landbouw!M8</f>
        <v>0</v>
      </c>
      <c r="O22" s="727">
        <f>+landbouw!N8</f>
        <v>0</v>
      </c>
      <c r="P22" s="727">
        <f>+landbouw!O8</f>
        <v>0</v>
      </c>
      <c r="Q22" s="728">
        <f>+landbouw!P8</f>
        <v>0</v>
      </c>
      <c r="R22" s="729">
        <f>SUM(C22:Q22)</f>
        <v>4978.3868030060512</v>
      </c>
      <c r="S22" s="67"/>
    </row>
    <row r="23" spans="1:19" s="474" customFormat="1" ht="17.25" thickTop="1" thickBot="1">
      <c r="A23" s="734" t="s">
        <v>116</v>
      </c>
      <c r="B23" s="864"/>
      <c r="C23" s="735">
        <f ca="1">C20+C15+C22</f>
        <v>28345.664498396633</v>
      </c>
      <c r="D23" s="735">
        <f t="shared" ref="D23:Q23" ca="1" si="2">D20+D15+D22</f>
        <v>0</v>
      </c>
      <c r="E23" s="735">
        <f t="shared" ca="1" si="2"/>
        <v>28949.130151687161</v>
      </c>
      <c r="F23" s="735">
        <f t="shared" si="2"/>
        <v>4255.0506089973696</v>
      </c>
      <c r="G23" s="735">
        <f t="shared" ca="1" si="2"/>
        <v>38035.047579560203</v>
      </c>
      <c r="H23" s="735">
        <f t="shared" si="2"/>
        <v>40278.630083934688</v>
      </c>
      <c r="I23" s="735">
        <f t="shared" si="2"/>
        <v>9536.0557403842813</v>
      </c>
      <c r="J23" s="735">
        <f t="shared" si="2"/>
        <v>0</v>
      </c>
      <c r="K23" s="735">
        <f t="shared" si="2"/>
        <v>2235.0032270407537</v>
      </c>
      <c r="L23" s="735">
        <f t="shared" si="2"/>
        <v>0</v>
      </c>
      <c r="M23" s="735">
        <f t="shared" ca="1" si="2"/>
        <v>0</v>
      </c>
      <c r="N23" s="735">
        <f t="shared" si="2"/>
        <v>2635.72233154593</v>
      </c>
      <c r="O23" s="735">
        <f t="shared" ca="1" si="2"/>
        <v>11073.87515757791</v>
      </c>
      <c r="P23" s="735">
        <f t="shared" si="2"/>
        <v>100.05333333333334</v>
      </c>
      <c r="Q23" s="736">
        <f t="shared" si="2"/>
        <v>495.73333333333329</v>
      </c>
      <c r="R23" s="737">
        <f ca="1">R20+R15+R22</f>
        <v>165939.96604579163</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879.13533487471966</v>
      </c>
      <c r="D36" s="718">
        <f ca="1">tertiair!C20</f>
        <v>0</v>
      </c>
      <c r="E36" s="718">
        <f ca="1">tertiair!D20</f>
        <v>359.39392812400001</v>
      </c>
      <c r="F36" s="718">
        <f>tertiair!E20</f>
        <v>11.766871481670851</v>
      </c>
      <c r="G36" s="718">
        <f ca="1">tertiair!F20</f>
        <v>164.51769807893845</v>
      </c>
      <c r="H36" s="718">
        <f>tertiair!G20</f>
        <v>0</v>
      </c>
      <c r="I36" s="718">
        <f>tertiair!H20</f>
        <v>0</v>
      </c>
      <c r="J36" s="718">
        <f>tertiair!I20</f>
        <v>0</v>
      </c>
      <c r="K36" s="718">
        <f>tertiair!J20</f>
        <v>2.1537964781311197E-3</v>
      </c>
      <c r="L36" s="718">
        <f>tertiair!K20</f>
        <v>0</v>
      </c>
      <c r="M36" s="718">
        <f ca="1">tertiair!L20</f>
        <v>0</v>
      </c>
      <c r="N36" s="718">
        <f>tertiair!M20</f>
        <v>0</v>
      </c>
      <c r="O36" s="718">
        <f ca="1">tertiair!N20</f>
        <v>0</v>
      </c>
      <c r="P36" s="718">
        <f>tertiair!O20</f>
        <v>0</v>
      </c>
      <c r="Q36" s="828">
        <f>tertiair!P20</f>
        <v>0</v>
      </c>
      <c r="R36" s="917">
        <f ca="1">SUM(C36:Q36)</f>
        <v>1414.8159863558071</v>
      </c>
    </row>
    <row r="37" spans="1:18">
      <c r="A37" s="885" t="s">
        <v>225</v>
      </c>
      <c r="B37" s="892"/>
      <c r="C37" s="718">
        <f ca="1">huishoudens!B12</f>
        <v>2550.9121253687217</v>
      </c>
      <c r="D37" s="718">
        <f ca="1">huishoudens!C12</f>
        <v>0</v>
      </c>
      <c r="E37" s="718">
        <f>huishoudens!D12</f>
        <v>1764.7997843717999</v>
      </c>
      <c r="F37" s="718">
        <f>huishoudens!E12</f>
        <v>890.48179948993891</v>
      </c>
      <c r="G37" s="718">
        <f>huishoudens!F12</f>
        <v>8698.2779158780795</v>
      </c>
      <c r="H37" s="718">
        <f>huishoudens!G12</f>
        <v>0</v>
      </c>
      <c r="I37" s="718">
        <f>huishoudens!H12</f>
        <v>0</v>
      </c>
      <c r="J37" s="718">
        <f>huishoudens!I12</f>
        <v>0</v>
      </c>
      <c r="K37" s="718">
        <f>huishoudens!J12</f>
        <v>743.93648249199532</v>
      </c>
      <c r="L37" s="718">
        <f>huishoudens!K12</f>
        <v>0</v>
      </c>
      <c r="M37" s="718">
        <f>huishoudens!L12</f>
        <v>0</v>
      </c>
      <c r="N37" s="718">
        <f>huishoudens!M12</f>
        <v>0</v>
      </c>
      <c r="O37" s="718">
        <f>huishoudens!N12</f>
        <v>0</v>
      </c>
      <c r="P37" s="718">
        <f>huishoudens!O12</f>
        <v>0</v>
      </c>
      <c r="Q37" s="828">
        <f>huishoudens!P12</f>
        <v>0</v>
      </c>
      <c r="R37" s="917">
        <f ca="1">SUM(C37:Q37)</f>
        <v>14648.408107600535</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2332.7362858286688</v>
      </c>
      <c r="D39" s="718">
        <f ca="1">industrie!C22</f>
        <v>0</v>
      </c>
      <c r="E39" s="718">
        <f>industrie!D22</f>
        <v>3694.7314365720008</v>
      </c>
      <c r="F39" s="718">
        <f>industrie!E22</f>
        <v>31.747880432832794</v>
      </c>
      <c r="G39" s="718">
        <f>industrie!F22</f>
        <v>267.7541928657285</v>
      </c>
      <c r="H39" s="718">
        <f>industrie!G22</f>
        <v>0</v>
      </c>
      <c r="I39" s="718">
        <f>industrie!H22</f>
        <v>0</v>
      </c>
      <c r="J39" s="718">
        <f>industrie!I22</f>
        <v>0</v>
      </c>
      <c r="K39" s="718">
        <f>industrie!J22</f>
        <v>0</v>
      </c>
      <c r="L39" s="718">
        <f>industrie!K22</f>
        <v>0</v>
      </c>
      <c r="M39" s="718">
        <f>industrie!L22</f>
        <v>0</v>
      </c>
      <c r="N39" s="718">
        <f>industrie!M22</f>
        <v>0</v>
      </c>
      <c r="O39" s="718">
        <f>industrie!N22</f>
        <v>0</v>
      </c>
      <c r="P39" s="718">
        <f>industrie!O22</f>
        <v>0</v>
      </c>
      <c r="Q39" s="828">
        <f>industrie!P22</f>
        <v>0</v>
      </c>
      <c r="R39" s="918">
        <f ca="1">SUM(C39:Q39)</f>
        <v>6326.9697956992313</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5762.7837460721103</v>
      </c>
      <c r="D41" s="763">
        <f t="shared" ref="D41:R41" ca="1" si="4">SUM(D35:D40)</f>
        <v>0</v>
      </c>
      <c r="E41" s="763">
        <f t="shared" ca="1" si="4"/>
        <v>5818.9251490678007</v>
      </c>
      <c r="F41" s="763">
        <f t="shared" si="4"/>
        <v>933.99655140444247</v>
      </c>
      <c r="G41" s="763">
        <f t="shared" ca="1" si="4"/>
        <v>9130.5498068227462</v>
      </c>
      <c r="H41" s="763">
        <f t="shared" si="4"/>
        <v>0</v>
      </c>
      <c r="I41" s="763">
        <f t="shared" si="4"/>
        <v>0</v>
      </c>
      <c r="J41" s="763">
        <f t="shared" si="4"/>
        <v>0</v>
      </c>
      <c r="K41" s="763">
        <f t="shared" si="4"/>
        <v>743.9386362884735</v>
      </c>
      <c r="L41" s="763">
        <f t="shared" si="4"/>
        <v>0</v>
      </c>
      <c r="M41" s="763">
        <f t="shared" ca="1" si="4"/>
        <v>0</v>
      </c>
      <c r="N41" s="763">
        <f t="shared" si="4"/>
        <v>0</v>
      </c>
      <c r="O41" s="763">
        <f t="shared" ca="1" si="4"/>
        <v>0</v>
      </c>
      <c r="P41" s="763">
        <f t="shared" si="4"/>
        <v>0</v>
      </c>
      <c r="Q41" s="764">
        <f t="shared" si="4"/>
        <v>0</v>
      </c>
      <c r="R41" s="765">
        <f t="shared" ca="1" si="4"/>
        <v>22390.193889655573</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98.081022240976893</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98.081022240976893</v>
      </c>
    </row>
    <row r="45" spans="1:18" ht="15" thickBot="1">
      <c r="A45" s="888" t="s">
        <v>307</v>
      </c>
      <c r="B45" s="898"/>
      <c r="C45" s="727">
        <f ca="1">transport!B18</f>
        <v>5.3847169205391152</v>
      </c>
      <c r="D45" s="727">
        <f>transport!C18</f>
        <v>0</v>
      </c>
      <c r="E45" s="727">
        <f>transport!D18</f>
        <v>17.03113182500659</v>
      </c>
      <c r="F45" s="727">
        <f>transport!E18</f>
        <v>25.752583948820185</v>
      </c>
      <c r="G45" s="727">
        <f>transport!F18</f>
        <v>0</v>
      </c>
      <c r="H45" s="727">
        <f>transport!G18</f>
        <v>10656.313210169586</v>
      </c>
      <c r="I45" s="727">
        <f>transport!H18</f>
        <v>2374.4778793556861</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13078.959522219637</v>
      </c>
    </row>
    <row r="46" spans="1:18" ht="15.75" thickBot="1">
      <c r="A46" s="886" t="s">
        <v>230</v>
      </c>
      <c r="B46" s="899"/>
      <c r="C46" s="763">
        <f t="shared" ref="C46:R46" ca="1" si="5">SUM(C43:C45)</f>
        <v>5.3847169205391152</v>
      </c>
      <c r="D46" s="763">
        <f t="shared" ca="1" si="5"/>
        <v>0</v>
      </c>
      <c r="E46" s="763">
        <f t="shared" si="5"/>
        <v>17.03113182500659</v>
      </c>
      <c r="F46" s="763">
        <f t="shared" si="5"/>
        <v>25.752583948820185</v>
      </c>
      <c r="G46" s="763">
        <f t="shared" si="5"/>
        <v>0</v>
      </c>
      <c r="H46" s="763">
        <f t="shared" si="5"/>
        <v>10754.394232410563</v>
      </c>
      <c r="I46" s="763">
        <f t="shared" si="5"/>
        <v>2374.4778793556861</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13177.040544460613</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193.78470095912613</v>
      </c>
      <c r="D48" s="718">
        <f ca="1">+landbouw!C12</f>
        <v>0</v>
      </c>
      <c r="E48" s="718">
        <f>+landbouw!D12</f>
        <v>11.768009748000001</v>
      </c>
      <c r="F48" s="718">
        <f>+landbouw!E12</f>
        <v>6.14735288914029</v>
      </c>
      <c r="G48" s="718">
        <f>+landbouw!F12</f>
        <v>1024.8078969198282</v>
      </c>
      <c r="H48" s="718">
        <f>+landbouw!G12</f>
        <v>0</v>
      </c>
      <c r="I48" s="718">
        <f>+landbouw!H12</f>
        <v>0</v>
      </c>
      <c r="J48" s="718">
        <f>+landbouw!I12</f>
        <v>0</v>
      </c>
      <c r="K48" s="718">
        <f>+landbouw!J12</f>
        <v>47.252506083953371</v>
      </c>
      <c r="L48" s="718">
        <f>+landbouw!K12</f>
        <v>0</v>
      </c>
      <c r="M48" s="718">
        <f>+landbouw!L12</f>
        <v>0</v>
      </c>
      <c r="N48" s="718">
        <f>+landbouw!M12</f>
        <v>0</v>
      </c>
      <c r="O48" s="718">
        <f>+landbouw!N12</f>
        <v>0</v>
      </c>
      <c r="P48" s="718">
        <f>+landbouw!O12</f>
        <v>0</v>
      </c>
      <c r="Q48" s="719">
        <f>+landbouw!P12</f>
        <v>0</v>
      </c>
      <c r="R48" s="761">
        <f ca="1">SUM(C48:Q48)</f>
        <v>1283.7604666000479</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5961.9531639517754</v>
      </c>
      <c r="D53" s="773">
        <f t="shared" ref="D53:Q53" ca="1" si="6">D41+D46+D48</f>
        <v>0</v>
      </c>
      <c r="E53" s="773">
        <f t="shared" ca="1" si="6"/>
        <v>5847.7242906408073</v>
      </c>
      <c r="F53" s="773">
        <f t="shared" si="6"/>
        <v>965.89648824240294</v>
      </c>
      <c r="G53" s="773">
        <f t="shared" ca="1" si="6"/>
        <v>10155.357703742575</v>
      </c>
      <c r="H53" s="773">
        <f t="shared" si="6"/>
        <v>10754.394232410563</v>
      </c>
      <c r="I53" s="773">
        <f t="shared" si="6"/>
        <v>2374.4778793556861</v>
      </c>
      <c r="J53" s="773">
        <f t="shared" si="6"/>
        <v>0</v>
      </c>
      <c r="K53" s="773">
        <f t="shared" si="6"/>
        <v>791.19114237242684</v>
      </c>
      <c r="L53" s="773">
        <f t="shared" si="6"/>
        <v>0</v>
      </c>
      <c r="M53" s="773">
        <f t="shared" ca="1" si="6"/>
        <v>0</v>
      </c>
      <c r="N53" s="773">
        <f t="shared" si="6"/>
        <v>0</v>
      </c>
      <c r="O53" s="773">
        <f t="shared" ca="1" si="6"/>
        <v>0</v>
      </c>
      <c r="P53" s="773">
        <f>P41+P46+P48</f>
        <v>0</v>
      </c>
      <c r="Q53" s="774">
        <f t="shared" si="6"/>
        <v>0</v>
      </c>
      <c r="R53" s="775">
        <f ca="1">R41+R46+R48</f>
        <v>36850.994900716236</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0.21033033691233494</v>
      </c>
      <c r="D55" s="836">
        <f t="shared" ca="1" si="7"/>
        <v>0</v>
      </c>
      <c r="E55" s="836">
        <f t="shared" ca="1" si="7"/>
        <v>0.20200000000000004</v>
      </c>
      <c r="F55" s="836">
        <f t="shared" si="7"/>
        <v>0.22700000000000001</v>
      </c>
      <c r="G55" s="836">
        <f t="shared" ca="1" si="7"/>
        <v>0.26700000000000002</v>
      </c>
      <c r="H55" s="836">
        <f t="shared" si="7"/>
        <v>0.26700000000000002</v>
      </c>
      <c r="I55" s="836">
        <f t="shared" si="7"/>
        <v>0.249</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1368.5008606057916</v>
      </c>
      <c r="C66" s="795">
        <f>'lokale energieproductie'!B6</f>
        <v>1368.5008606057916</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1368.5008606057916</v>
      </c>
      <c r="C69" s="803">
        <f>SUM(C64:C68)</f>
        <v>1368.5008606057916</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12128.122660840572</v>
      </c>
      <c r="C4" s="478">
        <f>huishoudens!C8</f>
        <v>0</v>
      </c>
      <c r="D4" s="478">
        <f>huishoudens!D8</f>
        <v>8736.6325958999987</v>
      </c>
      <c r="E4" s="478">
        <f>huishoudens!E8</f>
        <v>3922.8273105283652</v>
      </c>
      <c r="F4" s="478">
        <f>huishoudens!F8</f>
        <v>32577.819909655729</v>
      </c>
      <c r="G4" s="478">
        <f>huishoudens!G8</f>
        <v>0</v>
      </c>
      <c r="H4" s="478">
        <f>huishoudens!H8</f>
        <v>0</v>
      </c>
      <c r="I4" s="478">
        <f>huishoudens!I8</f>
        <v>0</v>
      </c>
      <c r="J4" s="478">
        <f>huishoudens!J8</f>
        <v>2101.5154872655235</v>
      </c>
      <c r="K4" s="478">
        <f>huishoudens!K8</f>
        <v>0</v>
      </c>
      <c r="L4" s="478">
        <f>huishoudens!L8</f>
        <v>0</v>
      </c>
      <c r="M4" s="478">
        <f>huishoudens!M8</f>
        <v>0</v>
      </c>
      <c r="N4" s="478">
        <f>huishoudens!N8</f>
        <v>9961.0536403063434</v>
      </c>
      <c r="O4" s="478">
        <f>huishoudens!O8</f>
        <v>98.490000000000009</v>
      </c>
      <c r="P4" s="479">
        <f>huishoudens!P8</f>
        <v>476.66666666666663</v>
      </c>
      <c r="Q4" s="480">
        <f>SUM(B4:P4)</f>
        <v>70003.128271163208</v>
      </c>
    </row>
    <row r="5" spans="1:17">
      <c r="A5" s="477" t="s">
        <v>156</v>
      </c>
      <c r="B5" s="478">
        <f ca="1">tertiair!B16</f>
        <v>3610.4398000000006</v>
      </c>
      <c r="C5" s="478">
        <f ca="1">tertiair!C16</f>
        <v>0</v>
      </c>
      <c r="D5" s="478">
        <f ca="1">tertiair!D16</f>
        <v>1779.177862</v>
      </c>
      <c r="E5" s="478">
        <f>tertiair!E16</f>
        <v>51.836438245246036</v>
      </c>
      <c r="F5" s="478">
        <f ca="1">tertiair!F16</f>
        <v>616.17115385370198</v>
      </c>
      <c r="G5" s="478">
        <f>tertiair!G16</f>
        <v>0</v>
      </c>
      <c r="H5" s="478">
        <f>tertiair!H16</f>
        <v>0</v>
      </c>
      <c r="I5" s="478">
        <f>tertiair!I16</f>
        <v>0</v>
      </c>
      <c r="J5" s="478">
        <f>tertiair!J16</f>
        <v>6.0841708421783044E-3</v>
      </c>
      <c r="K5" s="478">
        <f>tertiair!K16</f>
        <v>0</v>
      </c>
      <c r="L5" s="478">
        <f ca="1">tertiair!L16</f>
        <v>0</v>
      </c>
      <c r="M5" s="478">
        <f>tertiair!M16</f>
        <v>0</v>
      </c>
      <c r="N5" s="478">
        <f ca="1">tertiair!N16</f>
        <v>246.93162718045798</v>
      </c>
      <c r="O5" s="478">
        <f>tertiair!O16</f>
        <v>1.5633333333333335</v>
      </c>
      <c r="P5" s="479">
        <f>tertiair!P16</f>
        <v>19.066666666666666</v>
      </c>
      <c r="Q5" s="477">
        <f t="shared" ref="Q5:Q13" ca="1" si="0">SUM(B5:P5)</f>
        <v>6325.1929654502492</v>
      </c>
    </row>
    <row r="6" spans="1:17">
      <c r="A6" s="477" t="s">
        <v>194</v>
      </c>
      <c r="B6" s="478">
        <f>'openbare verlichting'!B8</f>
        <v>569.34400000000005</v>
      </c>
      <c r="C6" s="478"/>
      <c r="D6" s="478"/>
      <c r="E6" s="478"/>
      <c r="F6" s="478"/>
      <c r="G6" s="478"/>
      <c r="H6" s="478"/>
      <c r="I6" s="478"/>
      <c r="J6" s="478"/>
      <c r="K6" s="478"/>
      <c r="L6" s="478"/>
      <c r="M6" s="478"/>
      <c r="N6" s="478"/>
      <c r="O6" s="478"/>
      <c r="P6" s="479"/>
      <c r="Q6" s="477">
        <f t="shared" si="0"/>
        <v>569.34400000000005</v>
      </c>
    </row>
    <row r="7" spans="1:17">
      <c r="A7" s="477" t="s">
        <v>112</v>
      </c>
      <c r="B7" s="478">
        <f>landbouw!B8</f>
        <v>921.33500000000004</v>
      </c>
      <c r="C7" s="478">
        <f>landbouw!C8</f>
        <v>0</v>
      </c>
      <c r="D7" s="478">
        <f>landbouw!D8</f>
        <v>58.257474000000002</v>
      </c>
      <c r="E7" s="478">
        <f>landbouw!E8</f>
        <v>27.080849731895551</v>
      </c>
      <c r="F7" s="478">
        <f>landbouw!F8</f>
        <v>3838.2318236697679</v>
      </c>
      <c r="G7" s="478">
        <f>landbouw!G8</f>
        <v>0</v>
      </c>
      <c r="H7" s="478">
        <f>landbouw!H8</f>
        <v>0</v>
      </c>
      <c r="I7" s="478">
        <f>landbouw!I8</f>
        <v>0</v>
      </c>
      <c r="J7" s="478">
        <f>landbouw!J8</f>
        <v>133.48165560438807</v>
      </c>
      <c r="K7" s="478">
        <f>landbouw!K8</f>
        <v>0</v>
      </c>
      <c r="L7" s="478">
        <f>landbouw!L8</f>
        <v>0</v>
      </c>
      <c r="M7" s="478">
        <f>landbouw!M8</f>
        <v>0</v>
      </c>
      <c r="N7" s="478">
        <f>landbouw!N8</f>
        <v>0</v>
      </c>
      <c r="O7" s="478">
        <f>landbouw!O8</f>
        <v>0</v>
      </c>
      <c r="P7" s="479">
        <f>landbouw!P8</f>
        <v>0</v>
      </c>
      <c r="Q7" s="477">
        <f t="shared" si="0"/>
        <v>4978.3868030060512</v>
      </c>
    </row>
    <row r="8" spans="1:17">
      <c r="A8" s="477" t="s">
        <v>635</v>
      </c>
      <c r="B8" s="478">
        <f>industrie!B18</f>
        <v>11090.8218</v>
      </c>
      <c r="C8" s="478">
        <f>industrie!C18</f>
        <v>0</v>
      </c>
      <c r="D8" s="478">
        <f>industrie!D18</f>
        <v>18290.749686000003</v>
      </c>
      <c r="E8" s="478">
        <f>industrie!E18</f>
        <v>139.85850410939557</v>
      </c>
      <c r="F8" s="478">
        <f>industrie!F18</f>
        <v>1002.8246923810057</v>
      </c>
      <c r="G8" s="478">
        <f>industrie!G18</f>
        <v>0</v>
      </c>
      <c r="H8" s="478">
        <f>industrie!H18</f>
        <v>0</v>
      </c>
      <c r="I8" s="478">
        <f>industrie!I18</f>
        <v>0</v>
      </c>
      <c r="J8" s="478">
        <f>industrie!J18</f>
        <v>0</v>
      </c>
      <c r="K8" s="478">
        <f>industrie!K18</f>
        <v>0</v>
      </c>
      <c r="L8" s="478">
        <f>industrie!L18</f>
        <v>0</v>
      </c>
      <c r="M8" s="478">
        <f>industrie!M18</f>
        <v>0</v>
      </c>
      <c r="N8" s="478">
        <f>industrie!N18</f>
        <v>865.88989009110844</v>
      </c>
      <c r="O8" s="478">
        <f>industrie!O18</f>
        <v>0</v>
      </c>
      <c r="P8" s="479">
        <f>industrie!P18</f>
        <v>0</v>
      </c>
      <c r="Q8" s="477">
        <f t="shared" si="0"/>
        <v>31390.144572581507</v>
      </c>
    </row>
    <row r="9" spans="1:17" s="483" customFormat="1">
      <c r="A9" s="481" t="s">
        <v>561</v>
      </c>
      <c r="B9" s="482">
        <f>transport!B14</f>
        <v>25.601237556061395</v>
      </c>
      <c r="C9" s="482">
        <f>transport!C14</f>
        <v>0</v>
      </c>
      <c r="D9" s="482">
        <f>transport!D14</f>
        <v>84.312533787161328</v>
      </c>
      <c r="E9" s="482">
        <f>transport!E14</f>
        <v>113.44750638246776</v>
      </c>
      <c r="F9" s="482">
        <f>transport!F14</f>
        <v>0</v>
      </c>
      <c r="G9" s="482">
        <f>transport!G14</f>
        <v>39911.285431346761</v>
      </c>
      <c r="H9" s="482">
        <f>transport!H14</f>
        <v>9536.0557403842813</v>
      </c>
      <c r="I9" s="482">
        <f>transport!I14</f>
        <v>0</v>
      </c>
      <c r="J9" s="482">
        <f>transport!J14</f>
        <v>0</v>
      </c>
      <c r="K9" s="482">
        <f>transport!K14</f>
        <v>0</v>
      </c>
      <c r="L9" s="482">
        <f>transport!L14</f>
        <v>0</v>
      </c>
      <c r="M9" s="482">
        <f>transport!M14</f>
        <v>2614.8587769499641</v>
      </c>
      <c r="N9" s="482">
        <f>transport!N14</f>
        <v>0</v>
      </c>
      <c r="O9" s="482">
        <f>transport!O14</f>
        <v>0</v>
      </c>
      <c r="P9" s="482">
        <f>transport!P14</f>
        <v>0</v>
      </c>
      <c r="Q9" s="481">
        <f>SUM(B9:P9)</f>
        <v>52285.561226406702</v>
      </c>
    </row>
    <row r="10" spans="1:17">
      <c r="A10" s="477" t="s">
        <v>551</v>
      </c>
      <c r="B10" s="478">
        <f>transport!B54</f>
        <v>0</v>
      </c>
      <c r="C10" s="478">
        <f>transport!C54</f>
        <v>0</v>
      </c>
      <c r="D10" s="478">
        <f>transport!D54</f>
        <v>0</v>
      </c>
      <c r="E10" s="478">
        <f>transport!E54</f>
        <v>0</v>
      </c>
      <c r="F10" s="478">
        <f>transport!F54</f>
        <v>0</v>
      </c>
      <c r="G10" s="478">
        <f>transport!G54</f>
        <v>367.34465258792841</v>
      </c>
      <c r="H10" s="478">
        <f>transport!H54</f>
        <v>0</v>
      </c>
      <c r="I10" s="478">
        <f>transport!I54</f>
        <v>0</v>
      </c>
      <c r="J10" s="478">
        <f>transport!J54</f>
        <v>0</v>
      </c>
      <c r="K10" s="478">
        <f>transport!K54</f>
        <v>0</v>
      </c>
      <c r="L10" s="478">
        <f>transport!L54</f>
        <v>0</v>
      </c>
      <c r="M10" s="478">
        <f>transport!M54</f>
        <v>20.863554595966015</v>
      </c>
      <c r="N10" s="478">
        <f>transport!N54</f>
        <v>0</v>
      </c>
      <c r="O10" s="478">
        <f>transport!O54</f>
        <v>0</v>
      </c>
      <c r="P10" s="479">
        <f>transport!P54</f>
        <v>0</v>
      </c>
      <c r="Q10" s="477">
        <f t="shared" si="0"/>
        <v>388.20820718389444</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28345.664498396633</v>
      </c>
      <c r="C14" s="488">
        <f t="shared" ref="C14:Q14" ca="1" si="1">SUM(C4:C13)</f>
        <v>0</v>
      </c>
      <c r="D14" s="488">
        <f t="shared" ca="1" si="1"/>
        <v>28949.130151687161</v>
      </c>
      <c r="E14" s="488">
        <f t="shared" si="1"/>
        <v>4255.0506089973696</v>
      </c>
      <c r="F14" s="488">
        <f t="shared" ca="1" si="1"/>
        <v>38035.047579560203</v>
      </c>
      <c r="G14" s="488">
        <f t="shared" si="1"/>
        <v>40278.630083934688</v>
      </c>
      <c r="H14" s="488">
        <f t="shared" si="1"/>
        <v>9536.0557403842813</v>
      </c>
      <c r="I14" s="488">
        <f t="shared" si="1"/>
        <v>0</v>
      </c>
      <c r="J14" s="488">
        <f t="shared" si="1"/>
        <v>2235.0032270407537</v>
      </c>
      <c r="K14" s="488">
        <f t="shared" si="1"/>
        <v>0</v>
      </c>
      <c r="L14" s="488">
        <f t="shared" ca="1" si="1"/>
        <v>0</v>
      </c>
      <c r="M14" s="488">
        <f t="shared" si="1"/>
        <v>2635.72233154593</v>
      </c>
      <c r="N14" s="488">
        <f t="shared" ca="1" si="1"/>
        <v>11073.87515757791</v>
      </c>
      <c r="O14" s="488">
        <f t="shared" si="1"/>
        <v>100.05333333333334</v>
      </c>
      <c r="P14" s="489">
        <f t="shared" si="1"/>
        <v>495.73333333333329</v>
      </c>
      <c r="Q14" s="489">
        <f t="shared" ca="1" si="1"/>
        <v>165939.9660457916</v>
      </c>
    </row>
    <row r="16" spans="1:17">
      <c r="A16" s="491" t="s">
        <v>556</v>
      </c>
      <c r="B16" s="841">
        <f ca="1">huishoudens!B10</f>
        <v>0.21033033691233494</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2550.9121253687217</v>
      </c>
      <c r="C21" s="478">
        <f t="shared" ref="C21:C30" ca="1" si="3">C4*$C$16</f>
        <v>0</v>
      </c>
      <c r="D21" s="478">
        <f t="shared" ref="D21:D30" si="4">D4*$D$16</f>
        <v>1764.7997843717999</v>
      </c>
      <c r="E21" s="478">
        <f t="shared" ref="E21:E30" si="5">E4*$E$16</f>
        <v>890.48179948993891</v>
      </c>
      <c r="F21" s="478">
        <f t="shared" ref="F21:F30" si="6">F4*$F$16</f>
        <v>8698.2779158780795</v>
      </c>
      <c r="G21" s="478">
        <f t="shared" ref="G21:G30" si="7">G4*$G$16</f>
        <v>0</v>
      </c>
      <c r="H21" s="478">
        <f t="shared" ref="H21:H30" si="8">H4*$H$16</f>
        <v>0</v>
      </c>
      <c r="I21" s="478">
        <f t="shared" ref="I21:I30" si="9">I4*$I$16</f>
        <v>0</v>
      </c>
      <c r="J21" s="478">
        <f t="shared" ref="J21:J30" si="10">J4*$J$16</f>
        <v>743.93648249199532</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14648.408107600535</v>
      </c>
    </row>
    <row r="22" spans="1:17">
      <c r="A22" s="477" t="s">
        <v>156</v>
      </c>
      <c r="B22" s="478">
        <f t="shared" ca="1" si="2"/>
        <v>759.38501953570324</v>
      </c>
      <c r="C22" s="478">
        <f t="shared" ca="1" si="3"/>
        <v>0</v>
      </c>
      <c r="D22" s="478">
        <f t="shared" ca="1" si="4"/>
        <v>359.39392812400001</v>
      </c>
      <c r="E22" s="478">
        <f t="shared" si="5"/>
        <v>11.766871481670851</v>
      </c>
      <c r="F22" s="478">
        <f t="shared" ca="1" si="6"/>
        <v>164.51769807893845</v>
      </c>
      <c r="G22" s="478">
        <f t="shared" si="7"/>
        <v>0</v>
      </c>
      <c r="H22" s="478">
        <f t="shared" si="8"/>
        <v>0</v>
      </c>
      <c r="I22" s="478">
        <f t="shared" si="9"/>
        <v>0</v>
      </c>
      <c r="J22" s="478">
        <f t="shared" si="10"/>
        <v>2.1537964781311197E-3</v>
      </c>
      <c r="K22" s="478">
        <f t="shared" si="11"/>
        <v>0</v>
      </c>
      <c r="L22" s="478">
        <f t="shared" ca="1" si="12"/>
        <v>0</v>
      </c>
      <c r="M22" s="478">
        <f t="shared" si="13"/>
        <v>0</v>
      </c>
      <c r="N22" s="478">
        <f t="shared" ca="1" si="14"/>
        <v>0</v>
      </c>
      <c r="O22" s="478">
        <f t="shared" si="15"/>
        <v>0</v>
      </c>
      <c r="P22" s="479">
        <f t="shared" si="16"/>
        <v>0</v>
      </c>
      <c r="Q22" s="477">
        <f t="shared" ref="Q22:Q30" ca="1" si="17">SUM(B22:P22)</f>
        <v>1295.0656710167905</v>
      </c>
    </row>
    <row r="23" spans="1:17">
      <c r="A23" s="477" t="s">
        <v>194</v>
      </c>
      <c r="B23" s="478">
        <f t="shared" ca="1" si="2"/>
        <v>119.75031533901644</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119.75031533901644</v>
      </c>
    </row>
    <row r="24" spans="1:17">
      <c r="A24" s="477" t="s">
        <v>112</v>
      </c>
      <c r="B24" s="478">
        <f t="shared" ca="1" si="2"/>
        <v>193.78470095912613</v>
      </c>
      <c r="C24" s="478">
        <f t="shared" ca="1" si="3"/>
        <v>0</v>
      </c>
      <c r="D24" s="478">
        <f t="shared" si="4"/>
        <v>11.768009748000001</v>
      </c>
      <c r="E24" s="478">
        <f t="shared" si="5"/>
        <v>6.14735288914029</v>
      </c>
      <c r="F24" s="478">
        <f t="shared" si="6"/>
        <v>1024.8078969198282</v>
      </c>
      <c r="G24" s="478">
        <f t="shared" si="7"/>
        <v>0</v>
      </c>
      <c r="H24" s="478">
        <f t="shared" si="8"/>
        <v>0</v>
      </c>
      <c r="I24" s="478">
        <f t="shared" si="9"/>
        <v>0</v>
      </c>
      <c r="J24" s="478">
        <f t="shared" si="10"/>
        <v>47.252506083953371</v>
      </c>
      <c r="K24" s="478">
        <f t="shared" si="11"/>
        <v>0</v>
      </c>
      <c r="L24" s="478">
        <f t="shared" si="12"/>
        <v>0</v>
      </c>
      <c r="M24" s="478">
        <f t="shared" si="13"/>
        <v>0</v>
      </c>
      <c r="N24" s="478">
        <f t="shared" si="14"/>
        <v>0</v>
      </c>
      <c r="O24" s="478">
        <f t="shared" si="15"/>
        <v>0</v>
      </c>
      <c r="P24" s="479">
        <f t="shared" si="16"/>
        <v>0</v>
      </c>
      <c r="Q24" s="477">
        <f t="shared" ca="1" si="17"/>
        <v>1283.7604666000479</v>
      </c>
    </row>
    <row r="25" spans="1:17">
      <c r="A25" s="477" t="s">
        <v>635</v>
      </c>
      <c r="B25" s="478">
        <f t="shared" ca="1" si="2"/>
        <v>2332.7362858286688</v>
      </c>
      <c r="C25" s="478">
        <f t="shared" ca="1" si="3"/>
        <v>0</v>
      </c>
      <c r="D25" s="478">
        <f t="shared" si="4"/>
        <v>3694.7314365720008</v>
      </c>
      <c r="E25" s="478">
        <f t="shared" si="5"/>
        <v>31.747880432832794</v>
      </c>
      <c r="F25" s="478">
        <f t="shared" si="6"/>
        <v>267.7541928657285</v>
      </c>
      <c r="G25" s="478">
        <f t="shared" si="7"/>
        <v>0</v>
      </c>
      <c r="H25" s="478">
        <f t="shared" si="8"/>
        <v>0</v>
      </c>
      <c r="I25" s="478">
        <f t="shared" si="9"/>
        <v>0</v>
      </c>
      <c r="J25" s="478">
        <f t="shared" si="10"/>
        <v>0</v>
      </c>
      <c r="K25" s="478">
        <f t="shared" si="11"/>
        <v>0</v>
      </c>
      <c r="L25" s="478">
        <f t="shared" si="12"/>
        <v>0</v>
      </c>
      <c r="M25" s="478">
        <f t="shared" si="13"/>
        <v>0</v>
      </c>
      <c r="N25" s="478">
        <f t="shared" si="14"/>
        <v>0</v>
      </c>
      <c r="O25" s="478">
        <f t="shared" si="15"/>
        <v>0</v>
      </c>
      <c r="P25" s="479">
        <f t="shared" si="16"/>
        <v>0</v>
      </c>
      <c r="Q25" s="477">
        <f t="shared" ca="1" si="17"/>
        <v>6326.9697956992313</v>
      </c>
    </row>
    <row r="26" spans="1:17" s="483" customFormat="1">
      <c r="A26" s="481" t="s">
        <v>561</v>
      </c>
      <c r="B26" s="835">
        <f t="shared" ca="1" si="2"/>
        <v>5.3847169205391152</v>
      </c>
      <c r="C26" s="482">
        <f t="shared" ca="1" si="3"/>
        <v>0</v>
      </c>
      <c r="D26" s="482">
        <f t="shared" si="4"/>
        <v>17.03113182500659</v>
      </c>
      <c r="E26" s="482">
        <f t="shared" si="5"/>
        <v>25.752583948820185</v>
      </c>
      <c r="F26" s="482">
        <f t="shared" si="6"/>
        <v>0</v>
      </c>
      <c r="G26" s="482">
        <f t="shared" si="7"/>
        <v>10656.313210169586</v>
      </c>
      <c r="H26" s="482">
        <f t="shared" si="8"/>
        <v>2374.4778793556861</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13078.959522219637</v>
      </c>
    </row>
    <row r="27" spans="1:17">
      <c r="A27" s="477" t="s">
        <v>551</v>
      </c>
      <c r="B27" s="478">
        <f t="shared" ca="1" si="2"/>
        <v>0</v>
      </c>
      <c r="C27" s="478">
        <f t="shared" ca="1" si="3"/>
        <v>0</v>
      </c>
      <c r="D27" s="478">
        <f t="shared" si="4"/>
        <v>0</v>
      </c>
      <c r="E27" s="478">
        <f t="shared" si="5"/>
        <v>0</v>
      </c>
      <c r="F27" s="478">
        <f t="shared" si="6"/>
        <v>0</v>
      </c>
      <c r="G27" s="478">
        <f t="shared" si="7"/>
        <v>98.081022240976893</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98.081022240976893</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5961.9531639517754</v>
      </c>
      <c r="C31" s="488">
        <f t="shared" ca="1" si="18"/>
        <v>0</v>
      </c>
      <c r="D31" s="488">
        <f t="shared" ca="1" si="18"/>
        <v>5847.7242906408073</v>
      </c>
      <c r="E31" s="488">
        <f t="shared" si="18"/>
        <v>965.89648824240294</v>
      </c>
      <c r="F31" s="488">
        <f t="shared" ca="1" si="18"/>
        <v>10155.357703742575</v>
      </c>
      <c r="G31" s="488">
        <f t="shared" si="18"/>
        <v>10754.394232410563</v>
      </c>
      <c r="H31" s="488">
        <f t="shared" si="18"/>
        <v>2374.4778793556861</v>
      </c>
      <c r="I31" s="488">
        <f t="shared" si="18"/>
        <v>0</v>
      </c>
      <c r="J31" s="488">
        <f t="shared" si="18"/>
        <v>791.19114237242684</v>
      </c>
      <c r="K31" s="488">
        <f t="shared" si="18"/>
        <v>0</v>
      </c>
      <c r="L31" s="488">
        <f t="shared" ca="1" si="18"/>
        <v>0</v>
      </c>
      <c r="M31" s="488">
        <f t="shared" si="18"/>
        <v>0</v>
      </c>
      <c r="N31" s="488">
        <f t="shared" ca="1" si="18"/>
        <v>0</v>
      </c>
      <c r="O31" s="488">
        <f t="shared" si="18"/>
        <v>0</v>
      </c>
      <c r="P31" s="489">
        <f t="shared" si="18"/>
        <v>0</v>
      </c>
      <c r="Q31" s="489">
        <f t="shared" ca="1" si="18"/>
        <v>36850.994900716236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0.21033033691233494</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0.21033033691233494</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0.21033033691233494</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23032</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2617</v>
      </c>
      <c r="C9" s="342">
        <v>2669</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3374.81</v>
      </c>
    </row>
    <row r="15" spans="1:6">
      <c r="A15" s="348" t="s">
        <v>184</v>
      </c>
      <c r="B15" s="334">
        <v>33</v>
      </c>
    </row>
    <row r="16" spans="1:6">
      <c r="A16" s="348" t="s">
        <v>6</v>
      </c>
      <c r="B16" s="334">
        <v>1200</v>
      </c>
    </row>
    <row r="17" spans="1:6">
      <c r="A17" s="348" t="s">
        <v>7</v>
      </c>
      <c r="B17" s="334">
        <v>870</v>
      </c>
    </row>
    <row r="18" spans="1:6">
      <c r="A18" s="348" t="s">
        <v>8</v>
      </c>
      <c r="B18" s="334">
        <v>1195</v>
      </c>
    </row>
    <row r="19" spans="1:6">
      <c r="A19" s="348" t="s">
        <v>9</v>
      </c>
      <c r="B19" s="334">
        <v>1150</v>
      </c>
    </row>
    <row r="20" spans="1:6">
      <c r="A20" s="348" t="s">
        <v>10</v>
      </c>
      <c r="B20" s="334">
        <v>855</v>
      </c>
    </row>
    <row r="21" spans="1:6">
      <c r="A21" s="348" t="s">
        <v>11</v>
      </c>
      <c r="B21" s="334">
        <v>0</v>
      </c>
    </row>
    <row r="22" spans="1:6">
      <c r="A22" s="348" t="s">
        <v>12</v>
      </c>
      <c r="B22" s="334">
        <v>1461</v>
      </c>
    </row>
    <row r="23" spans="1:6">
      <c r="A23" s="348" t="s">
        <v>13</v>
      </c>
      <c r="B23" s="334">
        <v>0</v>
      </c>
    </row>
    <row r="24" spans="1:6">
      <c r="A24" s="348" t="s">
        <v>14</v>
      </c>
      <c r="B24" s="334">
        <v>0</v>
      </c>
    </row>
    <row r="25" spans="1:6">
      <c r="A25" s="348" t="s">
        <v>15</v>
      </c>
      <c r="B25" s="334">
        <v>0</v>
      </c>
    </row>
    <row r="26" spans="1:6">
      <c r="A26" s="348" t="s">
        <v>16</v>
      </c>
      <c r="B26" s="334">
        <v>109</v>
      </c>
    </row>
    <row r="27" spans="1:6">
      <c r="A27" s="348" t="s">
        <v>17</v>
      </c>
      <c r="B27" s="334">
        <v>2</v>
      </c>
    </row>
    <row r="28" spans="1:6" s="356" customFormat="1">
      <c r="A28" s="355" t="s">
        <v>18</v>
      </c>
      <c r="B28" s="355">
        <v>46540</v>
      </c>
    </row>
    <row r="29" spans="1:6">
      <c r="A29" s="355" t="s">
        <v>744</v>
      </c>
      <c r="B29" s="355">
        <v>73</v>
      </c>
      <c r="C29" s="356"/>
      <c r="D29" s="356"/>
      <c r="E29" s="356"/>
      <c r="F29" s="356"/>
    </row>
    <row r="30" spans="1:6">
      <c r="A30" s="341" t="s">
        <v>745</v>
      </c>
      <c r="B30" s="341">
        <v>76</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8</v>
      </c>
      <c r="F36" s="334">
        <v>30765</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631</v>
      </c>
      <c r="D39" s="334">
        <v>9685845.4499999993</v>
      </c>
      <c r="E39" s="334">
        <v>2548</v>
      </c>
      <c r="F39" s="334">
        <v>10852568.85</v>
      </c>
    </row>
    <row r="40" spans="1:6">
      <c r="A40" s="348" t="s">
        <v>30</v>
      </c>
      <c r="B40" s="348" t="s">
        <v>29</v>
      </c>
      <c r="C40" s="334">
        <v>0</v>
      </c>
      <c r="D40" s="334">
        <v>0</v>
      </c>
      <c r="E40" s="334">
        <v>0</v>
      </c>
      <c r="F40" s="334">
        <v>0</v>
      </c>
    </row>
    <row r="41" spans="1:6">
      <c r="A41" s="348" t="s">
        <v>32</v>
      </c>
      <c r="B41" s="348" t="s">
        <v>33</v>
      </c>
      <c r="C41" s="334">
        <v>7</v>
      </c>
      <c r="D41" s="334">
        <v>204005</v>
      </c>
      <c r="E41" s="334">
        <v>55</v>
      </c>
      <c r="F41" s="334">
        <v>399353.8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6</v>
      </c>
      <c r="F44" s="334">
        <v>70869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0</v>
      </c>
      <c r="D48" s="334">
        <v>0</v>
      </c>
      <c r="E48" s="334">
        <v>0</v>
      </c>
      <c r="F48" s="334">
        <v>0</v>
      </c>
    </row>
    <row r="49" spans="1:6">
      <c r="A49" s="348" t="s">
        <v>32</v>
      </c>
      <c r="B49" s="348" t="s">
        <v>40</v>
      </c>
      <c r="C49" s="334">
        <v>0</v>
      </c>
      <c r="D49" s="334">
        <v>0</v>
      </c>
      <c r="E49" s="334">
        <v>0</v>
      </c>
      <c r="F49" s="334">
        <v>0</v>
      </c>
    </row>
    <row r="50" spans="1:6">
      <c r="A50" s="348" t="s">
        <v>32</v>
      </c>
      <c r="B50" s="348" t="s">
        <v>41</v>
      </c>
      <c r="C50" s="334">
        <v>5</v>
      </c>
      <c r="D50" s="334">
        <v>20073988</v>
      </c>
      <c r="E50" s="334">
        <v>12</v>
      </c>
      <c r="F50" s="334">
        <v>10620599</v>
      </c>
    </row>
    <row r="51" spans="1:6">
      <c r="A51" s="348" t="s">
        <v>42</v>
      </c>
      <c r="B51" s="348" t="s">
        <v>43</v>
      </c>
      <c r="C51" s="334">
        <v>4</v>
      </c>
      <c r="D51" s="334">
        <v>64587</v>
      </c>
      <c r="E51" s="334">
        <v>96</v>
      </c>
      <c r="F51" s="334">
        <v>921335</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1</v>
      </c>
      <c r="F54" s="334">
        <v>569344</v>
      </c>
    </row>
    <row r="55" spans="1:6">
      <c r="A55" s="348" t="s">
        <v>46</v>
      </c>
      <c r="B55" s="348" t="s">
        <v>29</v>
      </c>
      <c r="C55" s="334">
        <v>0</v>
      </c>
      <c r="D55" s="334">
        <v>0</v>
      </c>
      <c r="E55" s="334">
        <v>0</v>
      </c>
      <c r="F55" s="334">
        <v>0</v>
      </c>
    </row>
    <row r="56" spans="1:6">
      <c r="A56" s="348" t="s">
        <v>48</v>
      </c>
      <c r="B56" s="348" t="s">
        <v>29</v>
      </c>
      <c r="C56" s="334">
        <v>4</v>
      </c>
      <c r="D56" s="334">
        <v>143787</v>
      </c>
      <c r="E56" s="334">
        <v>7</v>
      </c>
      <c r="F56" s="334">
        <v>38135</v>
      </c>
    </row>
    <row r="57" spans="1:6">
      <c r="A57" s="348" t="s">
        <v>49</v>
      </c>
      <c r="B57" s="348" t="s">
        <v>50</v>
      </c>
      <c r="C57" s="334">
        <v>10</v>
      </c>
      <c r="D57" s="334">
        <v>316361</v>
      </c>
      <c r="E57" s="334">
        <v>35</v>
      </c>
      <c r="F57" s="334">
        <v>280298</v>
      </c>
    </row>
    <row r="58" spans="1:6">
      <c r="A58" s="348" t="s">
        <v>49</v>
      </c>
      <c r="B58" s="348" t="s">
        <v>51</v>
      </c>
      <c r="C58" s="334">
        <v>6</v>
      </c>
      <c r="D58" s="334">
        <v>300033</v>
      </c>
      <c r="E58" s="334">
        <v>13</v>
      </c>
      <c r="F58" s="334">
        <v>369271</v>
      </c>
    </row>
    <row r="59" spans="1:6">
      <c r="A59" s="348" t="s">
        <v>49</v>
      </c>
      <c r="B59" s="348" t="s">
        <v>52</v>
      </c>
      <c r="C59" s="334">
        <v>6</v>
      </c>
      <c r="D59" s="334">
        <v>166014</v>
      </c>
      <c r="E59" s="334">
        <v>69</v>
      </c>
      <c r="F59" s="334">
        <v>1216859</v>
      </c>
    </row>
    <row r="60" spans="1:6">
      <c r="A60" s="348" t="s">
        <v>49</v>
      </c>
      <c r="B60" s="348" t="s">
        <v>53</v>
      </c>
      <c r="C60" s="334">
        <v>12</v>
      </c>
      <c r="D60" s="334">
        <v>505188</v>
      </c>
      <c r="E60" s="334">
        <v>22</v>
      </c>
      <c r="F60" s="334">
        <v>435556</v>
      </c>
    </row>
    <row r="61" spans="1:6">
      <c r="A61" s="348" t="s">
        <v>49</v>
      </c>
      <c r="B61" s="348" t="s">
        <v>54</v>
      </c>
      <c r="C61" s="334">
        <v>20</v>
      </c>
      <c r="D61" s="334">
        <v>684885</v>
      </c>
      <c r="E61" s="334">
        <v>116</v>
      </c>
      <c r="F61" s="334">
        <v>1235614.8</v>
      </c>
    </row>
    <row r="62" spans="1:6">
      <c r="A62" s="348" t="s">
        <v>49</v>
      </c>
      <c r="B62" s="348" t="s">
        <v>55</v>
      </c>
      <c r="C62" s="334">
        <v>0</v>
      </c>
      <c r="D62" s="334">
        <v>0</v>
      </c>
      <c r="E62" s="334">
        <v>5</v>
      </c>
      <c r="F62" s="334">
        <v>72841</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6</v>
      </c>
      <c r="F68" s="334">
        <v>23139</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56881129</v>
      </c>
      <c r="E73" s="476">
        <v>57745298.448339738</v>
      </c>
    </row>
    <row r="74" spans="1:6">
      <c r="A74" s="348" t="s">
        <v>64</v>
      </c>
      <c r="B74" s="348" t="s">
        <v>657</v>
      </c>
      <c r="C74" s="1213" t="s">
        <v>659</v>
      </c>
      <c r="D74" s="476">
        <v>3928394.7230914091</v>
      </c>
      <c r="E74" s="476">
        <v>4027826.950973514</v>
      </c>
    </row>
    <row r="75" spans="1:6">
      <c r="A75" s="348" t="s">
        <v>65</v>
      </c>
      <c r="B75" s="348" t="s">
        <v>656</v>
      </c>
      <c r="C75" s="1213" t="s">
        <v>660</v>
      </c>
      <c r="D75" s="476">
        <v>8195185</v>
      </c>
      <c r="E75" s="476">
        <v>8311084.2010004213</v>
      </c>
    </row>
    <row r="76" spans="1:6">
      <c r="A76" s="348" t="s">
        <v>65</v>
      </c>
      <c r="B76" s="348" t="s">
        <v>657</v>
      </c>
      <c r="C76" s="1213" t="s">
        <v>661</v>
      </c>
      <c r="D76" s="476">
        <v>215997.72309140887</v>
      </c>
      <c r="E76" s="476">
        <v>223429.35552171612</v>
      </c>
    </row>
    <row r="77" spans="1:6">
      <c r="A77" s="348" t="s">
        <v>66</v>
      </c>
      <c r="B77" s="348" t="s">
        <v>656</v>
      </c>
      <c r="C77" s="1213" t="s">
        <v>662</v>
      </c>
      <c r="D77" s="476">
        <v>0</v>
      </c>
      <c r="E77" s="476">
        <v>0</v>
      </c>
    </row>
    <row r="78" spans="1:6">
      <c r="A78" s="341" t="s">
        <v>66</v>
      </c>
      <c r="B78" s="341" t="s">
        <v>657</v>
      </c>
      <c r="C78" s="341" t="s">
        <v>663</v>
      </c>
      <c r="D78" s="1214">
        <v>0</v>
      </c>
      <c r="E78" s="1214">
        <v>0</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105288.55381718224</v>
      </c>
      <c r="C83" s="476">
        <v>105431.83595968076</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1275.5538108405726</v>
      </c>
    </row>
    <row r="92" spans="1:6">
      <c r="A92" s="341" t="s">
        <v>69</v>
      </c>
      <c r="B92" s="342">
        <v>92.947049765218893</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127</v>
      </c>
    </row>
    <row r="98" spans="1:6">
      <c r="A98" s="348" t="s">
        <v>72</v>
      </c>
      <c r="B98" s="334">
        <v>2</v>
      </c>
    </row>
    <row r="99" spans="1:6">
      <c r="A99" s="348" t="s">
        <v>73</v>
      </c>
      <c r="B99" s="334">
        <v>102</v>
      </c>
    </row>
    <row r="100" spans="1:6">
      <c r="A100" s="348" t="s">
        <v>74</v>
      </c>
      <c r="B100" s="334">
        <v>176</v>
      </c>
    </row>
    <row r="101" spans="1:6">
      <c r="A101" s="348" t="s">
        <v>75</v>
      </c>
      <c r="B101" s="334">
        <v>76</v>
      </c>
    </row>
    <row r="102" spans="1:6">
      <c r="A102" s="348" t="s">
        <v>76</v>
      </c>
      <c r="B102" s="334">
        <v>26</v>
      </c>
    </row>
    <row r="103" spans="1:6">
      <c r="A103" s="348" t="s">
        <v>77</v>
      </c>
      <c r="B103" s="334">
        <v>110</v>
      </c>
    </row>
    <row r="104" spans="1:6">
      <c r="A104" s="348" t="s">
        <v>78</v>
      </c>
      <c r="B104" s="334">
        <v>1712</v>
      </c>
    </row>
    <row r="105" spans="1:6">
      <c r="A105" s="341" t="s">
        <v>79</v>
      </c>
      <c r="B105" s="341">
        <v>4</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11</v>
      </c>
      <c r="C123" s="334">
        <v>6</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57</v>
      </c>
    </row>
    <row r="130" spans="1:6">
      <c r="A130" s="348" t="s">
        <v>295</v>
      </c>
      <c r="B130" s="334">
        <v>1</v>
      </c>
    </row>
    <row r="131" spans="1:6">
      <c r="A131" s="348" t="s">
        <v>296</v>
      </c>
      <c r="B131" s="334">
        <v>1</v>
      </c>
    </row>
    <row r="132" spans="1:6">
      <c r="A132" s="341" t="s">
        <v>297</v>
      </c>
      <c r="B132" s="342">
        <v>14</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28345.664498396633</v>
      </c>
      <c r="C3" s="43" t="s">
        <v>170</v>
      </c>
      <c r="D3" s="43"/>
      <c r="E3" s="154"/>
      <c r="F3" s="43"/>
      <c r="G3" s="43"/>
      <c r="H3" s="43"/>
      <c r="I3" s="43"/>
      <c r="J3" s="43"/>
      <c r="K3" s="96"/>
    </row>
    <row r="4" spans="1:11">
      <c r="A4" s="383" t="s">
        <v>171</v>
      </c>
      <c r="B4" s="49">
        <f>IF(ISERROR('SEAP template'!B69),0,'SEAP template'!B69)</f>
        <v>1368.5008606057916</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0.21033033691233494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569.34400000000005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569.34400000000005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0.21033033691233494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119.75031533901644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10852.56885</v>
      </c>
      <c r="C5" s="17">
        <f>IF(ISERROR('Eigen informatie GS &amp; warmtenet'!B57),0,'Eigen informatie GS &amp; warmtenet'!B57)</f>
        <v>0</v>
      </c>
      <c r="D5" s="30">
        <f>(SUM(HH_hh_gas_kWh,HH_rest_gas_kWh)/1000)*0.902</f>
        <v>8736.6325958999987</v>
      </c>
      <c r="E5" s="17">
        <f>B46*B57</f>
        <v>3922.8273105283652</v>
      </c>
      <c r="F5" s="17">
        <f>B51*B62</f>
        <v>32577.819909655729</v>
      </c>
      <c r="G5" s="18"/>
      <c r="H5" s="17"/>
      <c r="I5" s="17"/>
      <c r="J5" s="17">
        <f>B50*B61+C50*C61</f>
        <v>2101.5154872655235</v>
      </c>
      <c r="K5" s="17"/>
      <c r="L5" s="17"/>
      <c r="M5" s="17"/>
      <c r="N5" s="17">
        <f>B48*B59+C48*C59</f>
        <v>9961.0536403063434</v>
      </c>
      <c r="O5" s="17">
        <f>B69*B70*B71</f>
        <v>98.490000000000009</v>
      </c>
      <c r="P5" s="17">
        <f>B77*B78*B79/1000-B77*B78*B79/1000/B80</f>
        <v>476.66666666666663</v>
      </c>
    </row>
    <row r="6" spans="1:16">
      <c r="A6" s="16" t="s">
        <v>621</v>
      </c>
      <c r="B6" s="843">
        <f>kWh_PV_kleiner_dan_10kW</f>
        <v>1275.5538108405726</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12128.122660840572</v>
      </c>
      <c r="C8" s="21">
        <f>C5</f>
        <v>0</v>
      </c>
      <c r="D8" s="21">
        <f>D5</f>
        <v>8736.6325958999987</v>
      </c>
      <c r="E8" s="21">
        <f>E5</f>
        <v>3922.8273105283652</v>
      </c>
      <c r="F8" s="21">
        <f>F5</f>
        <v>32577.819909655729</v>
      </c>
      <c r="G8" s="21"/>
      <c r="H8" s="21"/>
      <c r="I8" s="21"/>
      <c r="J8" s="21">
        <f>J5</f>
        <v>2101.5154872655235</v>
      </c>
      <c r="K8" s="21"/>
      <c r="L8" s="21">
        <f>L5</f>
        <v>0</v>
      </c>
      <c r="M8" s="21">
        <f>M5</f>
        <v>0</v>
      </c>
      <c r="N8" s="21">
        <f>N5</f>
        <v>9961.0536403063434</v>
      </c>
      <c r="O8" s="21">
        <f>O5</f>
        <v>98.490000000000009</v>
      </c>
      <c r="P8" s="21">
        <f>P5</f>
        <v>476.66666666666663</v>
      </c>
    </row>
    <row r="9" spans="1:16">
      <c r="B9" s="19"/>
      <c r="C9" s="19"/>
      <c r="D9" s="258"/>
      <c r="E9" s="19"/>
      <c r="F9" s="19"/>
      <c r="G9" s="19"/>
      <c r="H9" s="19"/>
      <c r="I9" s="19"/>
      <c r="J9" s="19"/>
      <c r="K9" s="19"/>
      <c r="L9" s="19"/>
      <c r="M9" s="19"/>
      <c r="N9" s="19"/>
      <c r="O9" s="19"/>
      <c r="P9" s="19"/>
    </row>
    <row r="10" spans="1:16">
      <c r="A10" s="24" t="s">
        <v>214</v>
      </c>
      <c r="B10" s="25">
        <f ca="1">'EF ele_warmte'!B12</f>
        <v>0.21033033691233494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2550.9121253687217</v>
      </c>
      <c r="C12" s="23">
        <f ca="1">C10*C8</f>
        <v>0</v>
      </c>
      <c r="D12" s="23">
        <f>D8*D10</f>
        <v>1764.7997843717999</v>
      </c>
      <c r="E12" s="23">
        <f>E10*E8</f>
        <v>890.48179948993891</v>
      </c>
      <c r="F12" s="23">
        <f>F10*F8</f>
        <v>8698.2779158780795</v>
      </c>
      <c r="G12" s="23"/>
      <c r="H12" s="23"/>
      <c r="I12" s="23"/>
      <c r="J12" s="23">
        <f>J10*J8</f>
        <v>743.93648249199532</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127</v>
      </c>
      <c r="C18" s="166" t="s">
        <v>111</v>
      </c>
      <c r="D18" s="228"/>
      <c r="E18" s="15"/>
    </row>
    <row r="19" spans="1:7">
      <c r="A19" s="171" t="s">
        <v>72</v>
      </c>
      <c r="B19" s="37">
        <f>aantalw2001_ander</f>
        <v>2</v>
      </c>
      <c r="C19" s="166" t="s">
        <v>111</v>
      </c>
      <c r="D19" s="229"/>
      <c r="E19" s="15"/>
    </row>
    <row r="20" spans="1:7">
      <c r="A20" s="171" t="s">
        <v>73</v>
      </c>
      <c r="B20" s="37">
        <f>aantalw2001_propaan</f>
        <v>102</v>
      </c>
      <c r="C20" s="167">
        <f>IF(ISERROR(B20/SUM($B$20,$B$21,$B$22)*100),0,B20/SUM($B$20,$B$21,$B$22)*100)</f>
        <v>28.8135593220339</v>
      </c>
      <c r="D20" s="229"/>
      <c r="E20" s="15"/>
    </row>
    <row r="21" spans="1:7">
      <c r="A21" s="171" t="s">
        <v>74</v>
      </c>
      <c r="B21" s="37">
        <f>aantalw2001_elektriciteit</f>
        <v>176</v>
      </c>
      <c r="C21" s="167">
        <f>IF(ISERROR(B21/SUM($B$20,$B$21,$B$22)*100),0,B21/SUM($B$20,$B$21,$B$22)*100)</f>
        <v>49.717514124293785</v>
      </c>
      <c r="D21" s="229"/>
      <c r="E21" s="15"/>
    </row>
    <row r="22" spans="1:7">
      <c r="A22" s="171" t="s">
        <v>75</v>
      </c>
      <c r="B22" s="37">
        <f>aantalw2001_hout</f>
        <v>76</v>
      </c>
      <c r="C22" s="167">
        <f>IF(ISERROR(B22/SUM($B$20,$B$21,$B$22)*100),0,B22/SUM($B$20,$B$21,$B$22)*100)</f>
        <v>21.468926553672315</v>
      </c>
      <c r="D22" s="229"/>
      <c r="E22" s="15"/>
    </row>
    <row r="23" spans="1:7">
      <c r="A23" s="171" t="s">
        <v>76</v>
      </c>
      <c r="B23" s="37">
        <f>aantalw2001_niet_gespec</f>
        <v>26</v>
      </c>
      <c r="C23" s="166" t="s">
        <v>111</v>
      </c>
      <c r="D23" s="228"/>
      <c r="E23" s="15"/>
    </row>
    <row r="24" spans="1:7">
      <c r="A24" s="171" t="s">
        <v>77</v>
      </c>
      <c r="B24" s="37">
        <f>aantalw2001_steenkool</f>
        <v>110</v>
      </c>
      <c r="C24" s="166" t="s">
        <v>111</v>
      </c>
      <c r="D24" s="229"/>
      <c r="E24" s="15"/>
    </row>
    <row r="25" spans="1:7">
      <c r="A25" s="171" t="s">
        <v>78</v>
      </c>
      <c r="B25" s="37">
        <f>aantalw2001_stookolie</f>
        <v>1712</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794</v>
      </c>
      <c r="B28" s="37">
        <f>aantalHuishoudens2011</f>
        <v>2617</v>
      </c>
      <c r="C28" s="36"/>
      <c r="D28" s="228"/>
    </row>
    <row r="29" spans="1:7" s="15" customFormat="1">
      <c r="A29" s="230" t="s">
        <v>795</v>
      </c>
      <c r="B29" s="37">
        <f>SUM(HH_hh_gas_aantal,HH_rest_gas_aantal)</f>
        <v>631</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631</v>
      </c>
      <c r="C32" s="167">
        <f>IF(ISERROR(B32/SUM($B$32,$B$34,$B$35,$B$36,$B$38,$B$39)*100),0,B32/SUM($B$32,$B$34,$B$35,$B$36,$B$38,$B$39)*100)</f>
        <v>24.344135802469136</v>
      </c>
      <c r="D32" s="233"/>
      <c r="G32" s="15"/>
    </row>
    <row r="33" spans="1:7">
      <c r="A33" s="171" t="s">
        <v>72</v>
      </c>
      <c r="B33" s="34" t="s">
        <v>111</v>
      </c>
      <c r="C33" s="167"/>
      <c r="D33" s="233"/>
      <c r="G33" s="15"/>
    </row>
    <row r="34" spans="1:7">
      <c r="A34" s="171" t="s">
        <v>73</v>
      </c>
      <c r="B34" s="33">
        <f>IF((($B$28-$B$32-$B$39-$B$77-$B$38)*C20/100)&lt;0,0,($B$28-$B$32-$B$39-$B$77-$B$38)*C20/100)</f>
        <v>185.27118644067795</v>
      </c>
      <c r="C34" s="167">
        <f>IF(ISERROR(B34/SUM($B$32,$B$34,$B$35,$B$36,$B$38,$B$39)*100),0,B34/SUM($B$32,$B$34,$B$35,$B$36,$B$38,$B$39)*100)</f>
        <v>7.147808118853316</v>
      </c>
      <c r="D34" s="233"/>
      <c r="G34" s="15"/>
    </row>
    <row r="35" spans="1:7">
      <c r="A35" s="171" t="s">
        <v>74</v>
      </c>
      <c r="B35" s="33">
        <f>IF((($B$28-$B$32-$B$39-$B$77-$B$38)*C21/100)&lt;0,0,($B$28-$B$32-$B$39-$B$77-$B$38)*C21/100)</f>
        <v>319.68361581920897</v>
      </c>
      <c r="C35" s="167">
        <f>IF(ISERROR(B35/SUM($B$32,$B$34,$B$35,$B$36,$B$38,$B$39)*100),0,B35/SUM($B$32,$B$34,$B$35,$B$36,$B$38,$B$39)*100)</f>
        <v>12.333472832531211</v>
      </c>
      <c r="D35" s="233"/>
      <c r="G35" s="15"/>
    </row>
    <row r="36" spans="1:7">
      <c r="A36" s="171" t="s">
        <v>75</v>
      </c>
      <c r="B36" s="33">
        <f>IF((($B$28-$B$32-$B$39-$B$77-$B$38)*C22/100)&lt;0,0,($B$28-$B$32-$B$39-$B$77-$B$38)*C22/100)</f>
        <v>138.04519774011297</v>
      </c>
      <c r="C36" s="167">
        <f>IF(ISERROR(B36/SUM($B$32,$B$34,$B$35,$B$36,$B$38,$B$39)*100),0,B36/SUM($B$32,$B$34,$B$35,$B$36,$B$38,$B$39)*100)</f>
        <v>5.3258178140475687</v>
      </c>
      <c r="D36" s="233"/>
      <c r="G36" s="15"/>
    </row>
    <row r="37" spans="1:7">
      <c r="A37" s="171" t="s">
        <v>76</v>
      </c>
      <c r="B37" s="34" t="s">
        <v>111</v>
      </c>
      <c r="C37" s="167"/>
      <c r="D37" s="173"/>
      <c r="G37" s="15"/>
    </row>
    <row r="38" spans="1:7">
      <c r="A38" s="171" t="s">
        <v>77</v>
      </c>
      <c r="B38" s="33">
        <f>IF((B24-(B29-B18)*0.1)&lt;0,0,B24-(B29-B18)*0.1)</f>
        <v>59.599999999999994</v>
      </c>
      <c r="C38" s="167">
        <f>IF(ISERROR(B38/SUM($B$32,$B$34,$B$35,$B$36,$B$38,$B$39)*100),0,B38/SUM($B$32,$B$34,$B$35,$B$36,$B$38,$B$39)*100)</f>
        <v>2.2993827160493825</v>
      </c>
      <c r="D38" s="234"/>
      <c r="G38" s="15"/>
    </row>
    <row r="39" spans="1:7">
      <c r="A39" s="171" t="s">
        <v>78</v>
      </c>
      <c r="B39" s="33">
        <f>IF((B25-(B29-B18))&lt;0,0,B25-(B29-B18)*0.9)</f>
        <v>1258.4000000000001</v>
      </c>
      <c r="C39" s="167">
        <f>IF(ISERROR(B39/SUM($B$32,$B$34,$B$35,$B$36,$B$38,$B$39)*100),0,B39/SUM($B$32,$B$34,$B$35,$B$36,$B$38,$B$39)*100)</f>
        <v>48.549382716049386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631</v>
      </c>
      <c r="C44" s="34" t="s">
        <v>111</v>
      </c>
      <c r="D44" s="174"/>
    </row>
    <row r="45" spans="1:7">
      <c r="A45" s="171" t="s">
        <v>72</v>
      </c>
      <c r="B45" s="33" t="str">
        <f t="shared" si="0"/>
        <v>-</v>
      </c>
      <c r="C45" s="34" t="s">
        <v>111</v>
      </c>
      <c r="D45" s="174"/>
    </row>
    <row r="46" spans="1:7">
      <c r="A46" s="171" t="s">
        <v>73</v>
      </c>
      <c r="B46" s="33">
        <f t="shared" si="0"/>
        <v>185.27118644067795</v>
      </c>
      <c r="C46" s="34" t="s">
        <v>111</v>
      </c>
      <c r="D46" s="174"/>
    </row>
    <row r="47" spans="1:7">
      <c r="A47" s="171" t="s">
        <v>74</v>
      </c>
      <c r="B47" s="33">
        <f t="shared" si="0"/>
        <v>319.68361581920897</v>
      </c>
      <c r="C47" s="34" t="s">
        <v>111</v>
      </c>
      <c r="D47" s="174"/>
    </row>
    <row r="48" spans="1:7">
      <c r="A48" s="171" t="s">
        <v>75</v>
      </c>
      <c r="B48" s="33">
        <f t="shared" si="0"/>
        <v>138.04519774011297</v>
      </c>
      <c r="C48" s="33">
        <f>B48*10</f>
        <v>1380.4519774011296</v>
      </c>
      <c r="D48" s="234"/>
    </row>
    <row r="49" spans="1:6">
      <c r="A49" s="171" t="s">
        <v>76</v>
      </c>
      <c r="B49" s="33" t="str">
        <f t="shared" si="0"/>
        <v>-</v>
      </c>
      <c r="C49" s="34" t="s">
        <v>111</v>
      </c>
      <c r="D49" s="234"/>
    </row>
    <row r="50" spans="1:6">
      <c r="A50" s="171" t="s">
        <v>77</v>
      </c>
      <c r="B50" s="33">
        <f t="shared" si="0"/>
        <v>59.599999999999994</v>
      </c>
      <c r="C50" s="33">
        <f>B50*2</f>
        <v>119.19999999999999</v>
      </c>
      <c r="D50" s="234"/>
    </row>
    <row r="51" spans="1:6">
      <c r="A51" s="171" t="s">
        <v>78</v>
      </c>
      <c r="B51" s="33">
        <f t="shared" si="0"/>
        <v>1258.4000000000001</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63</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25</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3610.4398000000006</v>
      </c>
      <c r="C5" s="17">
        <f>IF(ISERROR('Eigen informatie GS &amp; warmtenet'!B58),0,'Eigen informatie GS &amp; warmtenet'!B58)</f>
        <v>0</v>
      </c>
      <c r="D5" s="30">
        <f>SUM(D6:D12)</f>
        <v>1779.177862</v>
      </c>
      <c r="E5" s="17">
        <f>SUM(E6:E12)</f>
        <v>51.836438245246036</v>
      </c>
      <c r="F5" s="17">
        <f>SUM(F6:F12)</f>
        <v>616.17115385370198</v>
      </c>
      <c r="G5" s="18"/>
      <c r="H5" s="17"/>
      <c r="I5" s="17"/>
      <c r="J5" s="17">
        <f>SUM(J6:J12)</f>
        <v>6.0841708421783044E-3</v>
      </c>
      <c r="K5" s="17"/>
      <c r="L5" s="17"/>
      <c r="M5" s="17"/>
      <c r="N5" s="17">
        <f>SUM(N6:N12)</f>
        <v>246.93162718045798</v>
      </c>
      <c r="O5" s="17">
        <f>B38*B39*B40</f>
        <v>1.5633333333333335</v>
      </c>
      <c r="P5" s="17">
        <f>B46*B47*B48/1000-B46*B47*B48/1000/B49</f>
        <v>19.066666666666666</v>
      </c>
      <c r="R5" s="32"/>
    </row>
    <row r="6" spans="1:18">
      <c r="A6" s="32" t="s">
        <v>54</v>
      </c>
      <c r="B6" s="37">
        <f>B26</f>
        <v>1235.6148000000001</v>
      </c>
      <c r="C6" s="33"/>
      <c r="D6" s="37">
        <f>IF(ISERROR(TER_kantoor_gas_kWh/1000),0,TER_kantoor_gas_kWh/1000)*0.902</f>
        <v>617.76626999999996</v>
      </c>
      <c r="E6" s="33">
        <f>$C$26*'E Balans VL '!I12/100/3.6*1000000</f>
        <v>7.7444226073557715E-3</v>
      </c>
      <c r="F6" s="33">
        <f>$C$26*('E Balans VL '!L12+'E Balans VL '!N12)/100/3.6*1000000</f>
        <v>185.67837806957814</v>
      </c>
      <c r="G6" s="34"/>
      <c r="H6" s="33"/>
      <c r="I6" s="33"/>
      <c r="J6" s="33">
        <f>$C$26*('E Balans VL '!D12+'E Balans VL '!E12)/100/3.6*1000000</f>
        <v>0</v>
      </c>
      <c r="K6" s="33"/>
      <c r="L6" s="33"/>
      <c r="M6" s="33"/>
      <c r="N6" s="33">
        <f>$C$26*'E Balans VL '!Y12/100/3.6*1000000</f>
        <v>1.1816823562007688</v>
      </c>
      <c r="O6" s="33"/>
      <c r="P6" s="33"/>
      <c r="R6" s="32"/>
    </row>
    <row r="7" spans="1:18">
      <c r="A7" s="32" t="s">
        <v>53</v>
      </c>
      <c r="B7" s="37">
        <f t="shared" ref="B7:B12" si="0">B27</f>
        <v>435.55599999999998</v>
      </c>
      <c r="C7" s="33"/>
      <c r="D7" s="37">
        <f>IF(ISERROR(TER_horeca_gas_kWh/1000),0,TER_horeca_gas_kWh/1000)*0.902</f>
        <v>455.679576</v>
      </c>
      <c r="E7" s="33">
        <f>$C$27*'E Balans VL '!I9/100/3.6*1000000</f>
        <v>6.2370893702200165</v>
      </c>
      <c r="F7" s="33">
        <f>$C$27*('E Balans VL '!L9+'E Balans VL '!N9)/100/3.6*1000000</f>
        <v>55.155754790311377</v>
      </c>
      <c r="G7" s="34"/>
      <c r="H7" s="33"/>
      <c r="I7" s="33"/>
      <c r="J7" s="33">
        <f>$C$27*('E Balans VL '!D9+'E Balans VL '!E9)/100/3.6*1000000</f>
        <v>0</v>
      </c>
      <c r="K7" s="33"/>
      <c r="L7" s="33"/>
      <c r="M7" s="33"/>
      <c r="N7" s="33">
        <f>$C$27*'E Balans VL '!Y9/100/3.6*1000000</f>
        <v>0.12521274681453423</v>
      </c>
      <c r="O7" s="33"/>
      <c r="P7" s="33"/>
      <c r="R7" s="32"/>
    </row>
    <row r="8" spans="1:18">
      <c r="A8" s="6" t="s">
        <v>52</v>
      </c>
      <c r="B8" s="37">
        <f t="shared" si="0"/>
        <v>1216.8589999999999</v>
      </c>
      <c r="C8" s="33"/>
      <c r="D8" s="37">
        <f>IF(ISERROR(TER_handel_gas_kWh/1000),0,TER_handel_gas_kWh/1000)*0.902</f>
        <v>149.74462800000001</v>
      </c>
      <c r="E8" s="33">
        <f>$C$28*'E Balans VL '!I13/100/3.6*1000000</f>
        <v>44.135325873670865</v>
      </c>
      <c r="F8" s="33">
        <f>$C$28*('E Balans VL '!L13+'E Balans VL '!N13)/100/3.6*1000000</f>
        <v>234.37936488075024</v>
      </c>
      <c r="G8" s="34"/>
      <c r="H8" s="33"/>
      <c r="I8" s="33"/>
      <c r="J8" s="33">
        <f>$C$28*('E Balans VL '!D13+'E Balans VL '!E13)/100/3.6*1000000</f>
        <v>0</v>
      </c>
      <c r="K8" s="33"/>
      <c r="L8" s="33"/>
      <c r="M8" s="33"/>
      <c r="N8" s="33">
        <f>$C$28*'E Balans VL '!Y13/100/3.6*1000000</f>
        <v>1.6856297017688642</v>
      </c>
      <c r="O8" s="33"/>
      <c r="P8" s="33"/>
      <c r="R8" s="32"/>
    </row>
    <row r="9" spans="1:18">
      <c r="A9" s="32" t="s">
        <v>51</v>
      </c>
      <c r="B9" s="37">
        <f t="shared" si="0"/>
        <v>369.27100000000002</v>
      </c>
      <c r="C9" s="33"/>
      <c r="D9" s="37">
        <f>IF(ISERROR(TER_gezond_gas_kWh/1000),0,TER_gezond_gas_kWh/1000)*0.902</f>
        <v>270.62976600000002</v>
      </c>
      <c r="E9" s="33">
        <f>$C$29*'E Balans VL '!I10/100/3.6*1000000</f>
        <v>2.312001049245644E-2</v>
      </c>
      <c r="F9" s="33">
        <f>$C$29*('E Balans VL '!L10+'E Balans VL '!N10)/100/3.6*1000000</f>
        <v>54.856331373120128</v>
      </c>
      <c r="G9" s="34"/>
      <c r="H9" s="33"/>
      <c r="I9" s="33"/>
      <c r="J9" s="33">
        <f>$C$29*('E Balans VL '!D10+'E Balans VL '!E10)/100/3.6*1000000</f>
        <v>0</v>
      </c>
      <c r="K9" s="33"/>
      <c r="L9" s="33"/>
      <c r="M9" s="33"/>
      <c r="N9" s="33">
        <f>$C$29*'E Balans VL '!Y10/100/3.6*1000000</f>
        <v>5.7119194596057046</v>
      </c>
      <c r="O9" s="33"/>
      <c r="P9" s="33"/>
      <c r="R9" s="32"/>
    </row>
    <row r="10" spans="1:18">
      <c r="A10" s="32" t="s">
        <v>50</v>
      </c>
      <c r="B10" s="37">
        <f t="shared" si="0"/>
        <v>280.298</v>
      </c>
      <c r="C10" s="33"/>
      <c r="D10" s="37">
        <f>IF(ISERROR(TER_ander_gas_kWh/1000),0,TER_ander_gas_kWh/1000)*0.902</f>
        <v>285.35762199999999</v>
      </c>
      <c r="E10" s="33">
        <f>$C$30*'E Balans VL '!I14/100/3.6*1000000</f>
        <v>0.33410519984191334</v>
      </c>
      <c r="F10" s="33">
        <f>$C$30*('E Balans VL '!L14+'E Balans VL '!N14)/100/3.6*1000000</f>
        <v>73.338417870348366</v>
      </c>
      <c r="G10" s="34"/>
      <c r="H10" s="33"/>
      <c r="I10" s="33"/>
      <c r="J10" s="33">
        <f>$C$30*('E Balans VL '!D14+'E Balans VL '!E14)/100/3.6*1000000</f>
        <v>6.0841708421783044E-3</v>
      </c>
      <c r="K10" s="33"/>
      <c r="L10" s="33"/>
      <c r="M10" s="33"/>
      <c r="N10" s="33">
        <f>$C$30*'E Balans VL '!Y14/100/3.6*1000000</f>
        <v>238.02220280448441</v>
      </c>
      <c r="O10" s="33"/>
      <c r="P10" s="33"/>
      <c r="R10" s="32"/>
    </row>
    <row r="11" spans="1:18">
      <c r="A11" s="32" t="s">
        <v>55</v>
      </c>
      <c r="B11" s="37">
        <f t="shared" si="0"/>
        <v>72.840999999999994</v>
      </c>
      <c r="C11" s="33"/>
      <c r="D11" s="37">
        <f>IF(ISERROR(TER_onderwijs_gas_kWh/1000),0,TER_onderwijs_gas_kWh/1000)*0.902</f>
        <v>0</v>
      </c>
      <c r="E11" s="33">
        <f>$C$31*'E Balans VL '!I11/100/3.6*1000000</f>
        <v>1.0990533684134263</v>
      </c>
      <c r="F11" s="33">
        <f>$C$31*('E Balans VL '!L11+'E Balans VL '!N11)/100/3.6*1000000</f>
        <v>12.762906869593781</v>
      </c>
      <c r="G11" s="34"/>
      <c r="H11" s="33"/>
      <c r="I11" s="33"/>
      <c r="J11" s="33">
        <f>$C$31*('E Balans VL '!D11+'E Balans VL '!E11)/100/3.6*1000000</f>
        <v>0</v>
      </c>
      <c r="K11" s="33"/>
      <c r="L11" s="33"/>
      <c r="M11" s="33"/>
      <c r="N11" s="33">
        <f>$C$31*'E Balans VL '!Y11/100/3.6*1000000</f>
        <v>0.20498011158370158</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3610.4398000000006</v>
      </c>
      <c r="C16" s="21">
        <f t="shared" ca="1" si="1"/>
        <v>0</v>
      </c>
      <c r="D16" s="21">
        <f t="shared" ca="1" si="1"/>
        <v>1779.177862</v>
      </c>
      <c r="E16" s="21">
        <f t="shared" si="1"/>
        <v>51.836438245246036</v>
      </c>
      <c r="F16" s="21">
        <f t="shared" ca="1" si="1"/>
        <v>616.17115385370198</v>
      </c>
      <c r="G16" s="21">
        <f t="shared" si="1"/>
        <v>0</v>
      </c>
      <c r="H16" s="21">
        <f t="shared" si="1"/>
        <v>0</v>
      </c>
      <c r="I16" s="21">
        <f t="shared" si="1"/>
        <v>0</v>
      </c>
      <c r="J16" s="21">
        <f t="shared" si="1"/>
        <v>6.0841708421783044E-3</v>
      </c>
      <c r="K16" s="21">
        <f t="shared" si="1"/>
        <v>0</v>
      </c>
      <c r="L16" s="21">
        <f t="shared" ca="1" si="1"/>
        <v>0</v>
      </c>
      <c r="M16" s="21">
        <f t="shared" si="1"/>
        <v>0</v>
      </c>
      <c r="N16" s="21">
        <f t="shared" ca="1" si="1"/>
        <v>246.93162718045798</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0.21033033691233494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759.38501953570324</v>
      </c>
      <c r="C20" s="23">
        <f t="shared" ref="C20:P20" ca="1" si="2">C16*C18</f>
        <v>0</v>
      </c>
      <c r="D20" s="23">
        <f t="shared" ca="1" si="2"/>
        <v>359.39392812400001</v>
      </c>
      <c r="E20" s="23">
        <f t="shared" si="2"/>
        <v>11.766871481670851</v>
      </c>
      <c r="F20" s="23">
        <f t="shared" ca="1" si="2"/>
        <v>164.51769807893845</v>
      </c>
      <c r="G20" s="23">
        <f t="shared" si="2"/>
        <v>0</v>
      </c>
      <c r="H20" s="23">
        <f t="shared" si="2"/>
        <v>0</v>
      </c>
      <c r="I20" s="23">
        <f t="shared" si="2"/>
        <v>0</v>
      </c>
      <c r="J20" s="23">
        <f t="shared" si="2"/>
        <v>2.1537964781311197E-3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1235.6148000000001</v>
      </c>
      <c r="C26" s="39">
        <f>IF(ISERROR(B26*3.6/1000000/'E Balans VL '!Z12*100),0,B26*3.6/1000000/'E Balans VL '!Z12*100)</f>
        <v>2.6118939500049943E-2</v>
      </c>
      <c r="D26" s="237" t="s">
        <v>754</v>
      </c>
      <c r="F26" s="6"/>
    </row>
    <row r="27" spans="1:18">
      <c r="A27" s="231" t="s">
        <v>53</v>
      </c>
      <c r="B27" s="33">
        <f>IF(ISERROR(TER_horeca_ele_kWh/1000),0,TER_horeca_ele_kWh/1000)</f>
        <v>435.55599999999998</v>
      </c>
      <c r="C27" s="39">
        <f>IF(ISERROR(B27*3.6/1000000/'E Balans VL '!Z9*100),0,B27*3.6/1000000/'E Balans VL '!Z9*100)</f>
        <v>3.4334717139991047E-2</v>
      </c>
      <c r="D27" s="237" t="s">
        <v>754</v>
      </c>
      <c r="F27" s="6"/>
    </row>
    <row r="28" spans="1:18">
      <c r="A28" s="171" t="s">
        <v>52</v>
      </c>
      <c r="B28" s="33">
        <f>IF(ISERROR(TER_handel_ele_kWh/1000),0,TER_handel_ele_kWh/1000)</f>
        <v>1216.8589999999999</v>
      </c>
      <c r="C28" s="39">
        <f>IF(ISERROR(B28*3.6/1000000/'E Balans VL '!Z13*100),0,B28*3.6/1000000/'E Balans VL '!Z13*100)</f>
        <v>3.5318164841301909E-2</v>
      </c>
      <c r="D28" s="237" t="s">
        <v>754</v>
      </c>
      <c r="F28" s="6"/>
    </row>
    <row r="29" spans="1:18">
      <c r="A29" s="231" t="s">
        <v>51</v>
      </c>
      <c r="B29" s="33">
        <f>IF(ISERROR(TER_gezond_ele_kWh/1000),0,TER_gezond_ele_kWh/1000)</f>
        <v>369.27100000000002</v>
      </c>
      <c r="C29" s="39">
        <f>IF(ISERROR(B29*3.6/1000000/'E Balans VL '!Z10*100),0,B29*3.6/1000000/'E Balans VL '!Z10*100)</f>
        <v>3.8890299889875336E-2</v>
      </c>
      <c r="D29" s="237" t="s">
        <v>754</v>
      </c>
      <c r="F29" s="6"/>
    </row>
    <row r="30" spans="1:18">
      <c r="A30" s="231" t="s">
        <v>50</v>
      </c>
      <c r="B30" s="33">
        <f>IF(ISERROR(TER_ander_ele_kWh/1000),0,TER_ander_ele_kWh/1000)</f>
        <v>280.298</v>
      </c>
      <c r="C30" s="39">
        <f>IF(ISERROR(B30*3.6/1000000/'E Balans VL '!Z14*100),0,B30*3.6/1000000/'E Balans VL '!Z14*100)</f>
        <v>2.067484136042276E-2</v>
      </c>
      <c r="D30" s="237" t="s">
        <v>754</v>
      </c>
      <c r="F30" s="6"/>
    </row>
    <row r="31" spans="1:18">
      <c r="A31" s="231" t="s">
        <v>55</v>
      </c>
      <c r="B31" s="33">
        <f>IF(ISERROR(TER_onderwijs_ele_kWh/1000),0,TER_onderwijs_ele_kWh/1000)</f>
        <v>72.840999999999994</v>
      </c>
      <c r="C31" s="39">
        <f>IF(ISERROR(B31*3.6/1000000/'E Balans VL '!Z11*100),0,B31*3.6/1000000/'E Balans VL '!Z11*100)</f>
        <v>1.8089832373384029E-2</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11090.8218</v>
      </c>
      <c r="C5" s="17">
        <f>IF(ISERROR('Eigen informatie GS &amp; warmtenet'!B59),0,'Eigen informatie GS &amp; warmtenet'!B59)</f>
        <v>0</v>
      </c>
      <c r="D5" s="30">
        <f>SUM(D6:D15)</f>
        <v>18290.749686000003</v>
      </c>
      <c r="E5" s="17">
        <f>SUM(E6:E15)</f>
        <v>139.85850410939557</v>
      </c>
      <c r="F5" s="17">
        <f>SUM(F6:F15)</f>
        <v>1002.8246923810057</v>
      </c>
      <c r="G5" s="18"/>
      <c r="H5" s="17"/>
      <c r="I5" s="17"/>
      <c r="J5" s="17">
        <f>SUM(J6:J15)</f>
        <v>0</v>
      </c>
      <c r="K5" s="17"/>
      <c r="L5" s="17"/>
      <c r="M5" s="17"/>
      <c r="N5" s="17">
        <f>SUM(N6:N15)</f>
        <v>865.88989009110844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70.869</v>
      </c>
      <c r="C8" s="33"/>
      <c r="D8" s="37">
        <f>IF( ISERROR(IND_metaal_Gas_kWH/1000),0,IND_metaal_Gas_kWH/1000)*0.902</f>
        <v>0</v>
      </c>
      <c r="E8" s="33">
        <f>C30*'E Balans VL '!I18/100/3.6*1000000</f>
        <v>0.65157200906887713</v>
      </c>
      <c r="F8" s="33">
        <f>C30*'E Balans VL '!L18/100/3.6*1000000+C30*'E Balans VL '!N18/100/3.6*1000000</f>
        <v>6.6451527321538473</v>
      </c>
      <c r="G8" s="34"/>
      <c r="H8" s="33"/>
      <c r="I8" s="33"/>
      <c r="J8" s="40">
        <f>C30*'E Balans VL '!D18/100/3.6*1000000+C30*'E Balans VL '!E18/100/3.6*1000000</f>
        <v>0</v>
      </c>
      <c r="K8" s="33"/>
      <c r="L8" s="33"/>
      <c r="M8" s="33"/>
      <c r="N8" s="33">
        <f>C30*'E Balans VL '!Y18/100/3.6*1000000</f>
        <v>1.0110634009543757</v>
      </c>
      <c r="O8" s="33"/>
      <c r="P8" s="33"/>
      <c r="R8" s="32"/>
    </row>
    <row r="9" spans="1:18">
      <c r="A9" s="6" t="s">
        <v>33</v>
      </c>
      <c r="B9" s="37">
        <f t="shared" si="0"/>
        <v>399.35379999999998</v>
      </c>
      <c r="C9" s="33"/>
      <c r="D9" s="37">
        <f>IF( ISERROR(IND_andere_gas_kWh/1000),0,IND_andere_gas_kWh/1000)*0.902</f>
        <v>184.01250999999999</v>
      </c>
      <c r="E9" s="33">
        <f>C31*'E Balans VL '!I19/100/3.6*1000000</f>
        <v>116.73889024148882</v>
      </c>
      <c r="F9" s="33">
        <f>C31*'E Balans VL '!L19/100/3.6*1000000+C31*'E Balans VL '!N19/100/3.6*1000000</f>
        <v>320.91100660510426</v>
      </c>
      <c r="G9" s="34"/>
      <c r="H9" s="33"/>
      <c r="I9" s="33"/>
      <c r="J9" s="40">
        <f>C31*'E Balans VL '!D19/100/3.6*1000000+C31*'E Balans VL '!E19/100/3.6*1000000</f>
        <v>0</v>
      </c>
      <c r="K9" s="33"/>
      <c r="L9" s="33"/>
      <c r="M9" s="33"/>
      <c r="N9" s="33">
        <f>C31*'E Balans VL '!Y19/100/3.6*1000000</f>
        <v>131.95268905831577</v>
      </c>
      <c r="O9" s="33"/>
      <c r="P9" s="33"/>
      <c r="R9" s="32"/>
    </row>
    <row r="10" spans="1:18">
      <c r="A10" s="6" t="s">
        <v>41</v>
      </c>
      <c r="B10" s="37">
        <f t="shared" si="0"/>
        <v>10620.599</v>
      </c>
      <c r="C10" s="33"/>
      <c r="D10" s="37">
        <f>IF( ISERROR(IND_voed_gas_kWh/1000),0,IND_voed_gas_kWh/1000)*0.902</f>
        <v>18106.737176000002</v>
      </c>
      <c r="E10" s="33">
        <f>C32*'E Balans VL '!I20/100/3.6*1000000</f>
        <v>22.468041858837879</v>
      </c>
      <c r="F10" s="33">
        <f>C32*'E Balans VL '!L20/100/3.6*1000000+C32*'E Balans VL '!N20/100/3.6*1000000</f>
        <v>675.26853304374754</v>
      </c>
      <c r="G10" s="34"/>
      <c r="H10" s="33"/>
      <c r="I10" s="33"/>
      <c r="J10" s="40">
        <f>C32*'E Balans VL '!D20/100/3.6*1000000+C32*'E Balans VL '!E20/100/3.6*1000000</f>
        <v>0</v>
      </c>
      <c r="K10" s="33"/>
      <c r="L10" s="33"/>
      <c r="M10" s="33"/>
      <c r="N10" s="33">
        <f>C32*'E Balans VL '!Y20/100/3.6*1000000</f>
        <v>732.92613763183829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11090.8218</v>
      </c>
      <c r="C18" s="21">
        <f>C5+C16</f>
        <v>0</v>
      </c>
      <c r="D18" s="21">
        <f>MAX((D5+D16),0)</f>
        <v>18290.749686000003</v>
      </c>
      <c r="E18" s="21">
        <f>MAX((E5+E16),0)</f>
        <v>139.85850410939557</v>
      </c>
      <c r="F18" s="21">
        <f>MAX((F5+F16),0)</f>
        <v>1002.8246923810057</v>
      </c>
      <c r="G18" s="21"/>
      <c r="H18" s="21"/>
      <c r="I18" s="21"/>
      <c r="J18" s="21">
        <f>MAX((J5+J16),0)</f>
        <v>0</v>
      </c>
      <c r="K18" s="21"/>
      <c r="L18" s="21">
        <f>MAX((L5+L16),0)</f>
        <v>0</v>
      </c>
      <c r="M18" s="21"/>
      <c r="N18" s="21">
        <f>MAX((N5+N16),0)</f>
        <v>865.88989009110844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0.21033033691233494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2332.7362858286688</v>
      </c>
      <c r="C22" s="23">
        <f ca="1">C18*C20</f>
        <v>0</v>
      </c>
      <c r="D22" s="23">
        <f>D18*D20</f>
        <v>3694.7314365720008</v>
      </c>
      <c r="E22" s="23">
        <f>E18*E20</f>
        <v>31.747880432832794</v>
      </c>
      <c r="F22" s="23">
        <f>F18*F20</f>
        <v>267.7541928657285</v>
      </c>
      <c r="G22" s="23"/>
      <c r="H22" s="23"/>
      <c r="I22" s="23"/>
      <c r="J22" s="23">
        <f>J18*J20</f>
        <v>0</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70.869</v>
      </c>
      <c r="C30" s="39">
        <f>IF(ISERROR(B30*3.6/1000000/'E Balans VL '!Z18*100),0,B30*3.6/1000000/'E Balans VL '!Z18*100)</f>
        <v>4.0163279500013676E-3</v>
      </c>
      <c r="D30" s="237" t="s">
        <v>754</v>
      </c>
    </row>
    <row r="31" spans="1:18">
      <c r="A31" s="6" t="s">
        <v>33</v>
      </c>
      <c r="B31" s="37">
        <f>IF( ISERROR(IND_ander_ele_kWh/1000),0,IND_ander_ele_kWh/1000)</f>
        <v>399.35379999999998</v>
      </c>
      <c r="C31" s="39">
        <f>IF(ISERROR(B31*3.6/1000000/'E Balans VL '!Z19*100),0,B31*3.6/1000000/'E Balans VL '!Z19*100)</f>
        <v>1.8113025487718721E-2</v>
      </c>
      <c r="D31" s="237" t="s">
        <v>754</v>
      </c>
    </row>
    <row r="32" spans="1:18">
      <c r="A32" s="171" t="s">
        <v>41</v>
      </c>
      <c r="B32" s="37">
        <f>IF( ISERROR(IND_voed_ele_kWh/1000),0,IND_voed_ele_kWh/1000)</f>
        <v>10620.599</v>
      </c>
      <c r="C32" s="39">
        <f>IF(ISERROR(B32*3.6/1000000/'E Balans VL '!Z20*100),0,B32*3.6/1000000/'E Balans VL '!Z20*100)</f>
        <v>0.32854334051853368</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0</v>
      </c>
      <c r="C37" s="39">
        <f>IF(ISERROR(B37*3.6/1000000/'E Balans VL '!Z15*100),0,B37*3.6/1000000/'E Balans VL '!Z15*100)</f>
        <v>0</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921.33500000000004</v>
      </c>
      <c r="C5" s="17">
        <f>'Eigen informatie GS &amp; warmtenet'!B60</f>
        <v>0</v>
      </c>
      <c r="D5" s="30">
        <f>IF(ISERROR(SUM(LB_lb_gas_kWh,LB_rest_gas_kWh,onbekend_gas_kWh)/1000),0,SUM(LB_lb_gas_kWh,LB_rest_gas_kWh,onbekend_gas_kWh)/1000)*0.902</f>
        <v>58.257474000000002</v>
      </c>
      <c r="E5" s="17">
        <f>B17*'E Balans VL '!I25/3.6*1000000/100</f>
        <v>27.080849731895551</v>
      </c>
      <c r="F5" s="17">
        <f>B17*('E Balans VL '!L25/3.6*1000000+'E Balans VL '!N25/3.6*1000000)/100</f>
        <v>3838.2318236697679</v>
      </c>
      <c r="G5" s="18"/>
      <c r="H5" s="17"/>
      <c r="I5" s="17"/>
      <c r="J5" s="17">
        <f>('E Balans VL '!D25+'E Balans VL '!E25)/3.6*1000000*landbouw!B17/100</f>
        <v>133.48165560438807</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921.33500000000004</v>
      </c>
      <c r="C8" s="21">
        <f>C5+C6</f>
        <v>0</v>
      </c>
      <c r="D8" s="21">
        <f>MAX((D5+D6),0)</f>
        <v>58.257474000000002</v>
      </c>
      <c r="E8" s="21">
        <f>MAX((E5+E6),0)</f>
        <v>27.080849731895551</v>
      </c>
      <c r="F8" s="21">
        <f>MAX((F5+F6),0)</f>
        <v>3838.2318236697679</v>
      </c>
      <c r="G8" s="21"/>
      <c r="H8" s="21"/>
      <c r="I8" s="21"/>
      <c r="J8" s="21">
        <f>MAX((J5+J6),0)</f>
        <v>133.48165560438807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0.21033033691233494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193.78470095912613</v>
      </c>
      <c r="C12" s="23">
        <f ca="1">C8*C10</f>
        <v>0</v>
      </c>
      <c r="D12" s="23">
        <f>D8*D10</f>
        <v>11.768009748000001</v>
      </c>
      <c r="E12" s="23">
        <f>E8*E10</f>
        <v>6.14735288914029</v>
      </c>
      <c r="F12" s="23">
        <f>F8*F10</f>
        <v>1024.8078969198282</v>
      </c>
      <c r="G12" s="23"/>
      <c r="H12" s="23"/>
      <c r="I12" s="23"/>
      <c r="J12" s="23">
        <f>J8*J10</f>
        <v>47.252506083953371</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0.13074032710040817</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400.20233608471881</v>
      </c>
      <c r="C26" s="247">
        <f>B26*'GWP N2O_CH4'!B5</f>
        <v>8404.2490577790959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65.77167202273651</v>
      </c>
      <c r="C27" s="247">
        <f>B27*'GWP N2O_CH4'!B5</f>
        <v>1381.2051124774666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4.8538782235431448</v>
      </c>
      <c r="C28" s="247">
        <f>B28*'GWP N2O_CH4'!B4</f>
        <v>1504.7022492983749</v>
      </c>
      <c r="D28" s="50"/>
    </row>
    <row r="29" spans="1:4">
      <c r="A29" s="41" t="s">
        <v>277</v>
      </c>
      <c r="B29" s="247">
        <f>B34*'ha_N2O bodem landbouw'!B4</f>
        <v>21.957325113766814</v>
      </c>
      <c r="C29" s="247">
        <f>B29*'GWP N2O_CH4'!B4</f>
        <v>6806.7707852677122</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5.0105859226529832E-3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9.2164455201821028E-5</v>
      </c>
      <c r="C5" s="463" t="s">
        <v>211</v>
      </c>
      <c r="D5" s="448">
        <f>SUM(D6:D11)</f>
        <v>3.0352512163378076E-4</v>
      </c>
      <c r="E5" s="448">
        <f>SUM(E6:E11)</f>
        <v>4.0841102297688398E-4</v>
      </c>
      <c r="F5" s="461" t="s">
        <v>211</v>
      </c>
      <c r="G5" s="448">
        <f>SUM(G6:G11)</f>
        <v>0.14368062755284833</v>
      </c>
      <c r="H5" s="448">
        <f>SUM(H6:H11)</f>
        <v>3.4329800665383416E-2</v>
      </c>
      <c r="I5" s="463" t="s">
        <v>211</v>
      </c>
      <c r="J5" s="463" t="s">
        <v>211</v>
      </c>
      <c r="K5" s="463" t="s">
        <v>211</v>
      </c>
      <c r="L5" s="463" t="s">
        <v>211</v>
      </c>
      <c r="M5" s="448">
        <f>SUM(M6:M11)</f>
        <v>9.4134915970198706E-3</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8.0558008641200897E-5</v>
      </c>
      <c r="C6" s="449"/>
      <c r="D6" s="962">
        <f>vkm_2011_GW_PW*SUMIFS(TableVerdeelsleutelVkm[CNG],TableVerdeelsleutelVkm[Voertuigtype],"Lichte voertuigen")*SUMIFS(TableECFTransport[EnergieConsumptieFactor (PJ per km)],TableECFTransport[Index],CONCATENATE($A6,"_CNG_CNG"))</f>
        <v>2.4162778983232312E-4</v>
      </c>
      <c r="E6" s="962">
        <f>vkm_2011_GW_PW*SUMIFS(TableVerdeelsleutelVkm[LPG],TableVerdeelsleutelVkm[Voertuigtype],"Lichte voertuigen")*SUMIFS(TableECFTransport[EnergieConsumptieFactor (PJ per km)],TableECFTransport[Index],CONCATENATE($A6,"_LPG_LPG"))</f>
        <v>3.3009826903246831E-4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8.5348280431952875E-2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2.7477573952818822E-2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5.8019634222886184E-3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3.6864248916897963E-2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1.1233508829239665E-5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2.1542242989425549E-3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1.160644656062013E-5</v>
      </c>
      <c r="C8" s="449"/>
      <c r="D8" s="451">
        <f>vkm_2011_NGW_PW*SUMIFS(TableVerdeelsleutelVkm[CNG],TableVerdeelsleutelVkm[Voertuigtype],"Lichte voertuigen")*SUMIFS(TableECFTransport[EnergieConsumptieFactor (PJ per km)],TableECFTransport[Index],CONCATENATE($A8,"_CNG_CNG"))</f>
        <v>6.1897331801457614E-5</v>
      </c>
      <c r="E8" s="451">
        <f>vkm_2011_NGW_PW*SUMIFS(TableVerdeelsleutelVkm[LPG],TableVerdeelsleutelVkm[Voertuigtype],"Lichte voertuigen")*SUMIFS(TableECFTransport[EnergieConsumptieFactor (PJ per km)],TableECFTransport[Index],CONCATENATE($A8,"_LPG_LPG"))</f>
        <v>7.8312753944415666E-5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1.8869075834080928E-2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6.840247612987042E-3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1.3054270152404802E-3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2.5990223699165495E-3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7.4559074831664581E-7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1.5187686054821708E-4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25.601237556061395</v>
      </c>
      <c r="C14" s="21"/>
      <c r="D14" s="21">
        <f t="shared" ref="D14:M14" si="0">((D5)*10^9/3600)+D12</f>
        <v>84.312533787161328</v>
      </c>
      <c r="E14" s="21">
        <f t="shared" si="0"/>
        <v>113.44750638246776</v>
      </c>
      <c r="F14" s="21"/>
      <c r="G14" s="21">
        <f t="shared" si="0"/>
        <v>39911.285431346761</v>
      </c>
      <c r="H14" s="21">
        <f t="shared" si="0"/>
        <v>9536.0557403842813</v>
      </c>
      <c r="I14" s="21"/>
      <c r="J14" s="21"/>
      <c r="K14" s="21"/>
      <c r="L14" s="21"/>
      <c r="M14" s="21">
        <f t="shared" si="0"/>
        <v>2614.8587769499641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0.21033033691233494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5.3847169205391152</v>
      </c>
      <c r="C18" s="23"/>
      <c r="D18" s="23">
        <f t="shared" ref="D18:M18" si="1">D14*D16</f>
        <v>17.03113182500659</v>
      </c>
      <c r="E18" s="23">
        <f t="shared" si="1"/>
        <v>25.752583948820185</v>
      </c>
      <c r="F18" s="23"/>
      <c r="G18" s="23">
        <f t="shared" si="1"/>
        <v>10656.313210169586</v>
      </c>
      <c r="H18" s="23">
        <f t="shared" si="1"/>
        <v>2374.4778793556861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1.3224407493165422E-3</v>
      </c>
      <c r="H50" s="321">
        <f t="shared" si="2"/>
        <v>0</v>
      </c>
      <c r="I50" s="321">
        <f t="shared" si="2"/>
        <v>0</v>
      </c>
      <c r="J50" s="321">
        <f t="shared" si="2"/>
        <v>0</v>
      </c>
      <c r="K50" s="321">
        <f t="shared" si="2"/>
        <v>0</v>
      </c>
      <c r="L50" s="321">
        <f t="shared" si="2"/>
        <v>0</v>
      </c>
      <c r="M50" s="321">
        <f t="shared" si="2"/>
        <v>7.5108796545477662E-5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1.3224407493165422E-3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7.5108796545477662E-5</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367.34465258792841</v>
      </c>
      <c r="H54" s="21">
        <f t="shared" si="3"/>
        <v>0</v>
      </c>
      <c r="I54" s="21">
        <f t="shared" si="3"/>
        <v>0</v>
      </c>
      <c r="J54" s="21">
        <f t="shared" si="3"/>
        <v>0</v>
      </c>
      <c r="K54" s="21">
        <f t="shared" si="3"/>
        <v>0</v>
      </c>
      <c r="L54" s="21">
        <f t="shared" si="3"/>
        <v>0</v>
      </c>
      <c r="M54" s="21">
        <f t="shared" si="3"/>
        <v>20.863554595966015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0.21033033691233494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98.081022240976893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1368.5008606057916</v>
      </c>
      <c r="C6" s="1204"/>
      <c r="D6" s="1189"/>
      <c r="E6" s="1189"/>
      <c r="F6" s="1207"/>
      <c r="G6" s="1210"/>
      <c r="H6" s="1201"/>
      <c r="I6" s="1189"/>
      <c r="J6" s="1189"/>
      <c r="K6" s="1189"/>
      <c r="L6" s="1193"/>
      <c r="M6" s="575"/>
      <c r="N6" s="1167"/>
      <c r="O6" s="1168"/>
      <c r="Q6" s="573"/>
      <c r="R6" s="1155"/>
      <c r="S6" s="1155"/>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1368.5008606057916</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2018-09-06T12:46:40Z</dcterms:modified>
</cp:coreProperties>
</file>