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<sst xmlns="http://schemas.openxmlformats.org/spreadsheetml/2006/main" count="1914" uniqueCount="809">
  <si>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</si>
  <si>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</si>
  <si>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</si>
  <si>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</si>
  <si>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</si>
  <si>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</si>
  <si>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</si>
  <si>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</si>
  <si>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</si>
  <si>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</si>
  <si>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</si>
  <si>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</si>
  <si>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</si>
  <si>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</si>
  <si>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</si>
  <si>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</si>
  <si>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</si>
  <si>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</si>
  <si>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</si>
  <si>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</si>
  <si>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</si>
  <si>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</si>
  <si>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</si>
  <si>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</si>
  <si>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</si>
  <si>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</si>
  <si>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</si>
  <si>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</si>
  <si>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</si>
  <si>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</si>
  <si>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</si>
  <si>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</si>
  <si>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</si>
  <si>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</si>
  <si>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</si>
  <si>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</si>
  <si>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</si>
  <si>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</si>
  <si>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</si>
  <si>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</si>
  <si>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</si>
  <si>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</si>
  <si>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</si>
  <si>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</si>
  <si>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</si>
  <si>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</si>
  <si>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</si>
  <si>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</si>
  <si>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</si>
  <si>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</si>
  <si>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</si>
  <si>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</si>
  <si>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</si>
  <si>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</si>
  <si>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</si>
  <si>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</si>
  <si>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</si>
  <si>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</si>
  <si>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</si>
  <si>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</si>
  <si>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</si>
  <si>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</si>
  <si>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</si>
  <si>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</si>
  <si>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</si>
  <si>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</si>
  <si>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</si>
  <si>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</si>
  <si>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</si>
  <si>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</si>
  <si>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</si>
  <si>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</si>
  <si>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</si>
  <si>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</si>
  <si>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</si>
  <si>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</si>
  <si>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</si>
  <si>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</si>
  <si>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</si>
  <si>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</si>
  <si>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</si>
  <si>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</si>
  <si>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</si>
  <si>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</si>
  <si>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</si>
  <si>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</si>
  <si>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</si>
  <si>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</si>
  <si>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</si>
  <si>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</si>
  <si>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</si>
  <si>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</si>
  <si>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</si>
  <si>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</si>
  <si>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</si>
  <si>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</si>
  <si>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</si>
  <si>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</si>
  <si>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</si>
  <si>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</si>
  <si>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</si>
  <si>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</si>
  <si>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</si>
  <si>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</si>
  <si>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</si>
  <si>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</si>
  <si>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</si>
  <si>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</si>
  <si>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</si>
  <si>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</si>
  <si>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</si>
  <si>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</si>
  <si>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</si>
  <si>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</si>
  <si>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</si>
  <si>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</si>
  <si>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</si>
  <si>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</si>
  <si>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</si>
  <si>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</si>
  <si>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</si>
  <si>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</si>
  <si>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</si>
  <si>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</si>
  <si>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</si>
  <si>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</si>
  <si>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</si>
  <si>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</si>
  <si>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</si>
  <si>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</si>
  <si>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</si>
  <si>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</si>
  <si>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</si>
  <si>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</si>
  <si>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</si>
  <si>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</si>
  <si>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</si>
  <si>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</si>
  <si>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</si>
  <si>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</si>
  <si>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</si>
  <si>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</si>
  <si>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</si>
  <si>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</si>
  <si>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</si>
  <si>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</si>
  <si>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</si>
  <si>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</si>
  <si>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</si>
  <si>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</si>
  <si>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</si>
  <si>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</si>
  <si>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</si>
  <si>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</si>
  <si>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</si>
  <si>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</si>
  <si>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</si>
  <si>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</si>
  <si>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</si>
  <si>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</si>
  <si>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</si>
  <si>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</si>
  <si>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</si>
  <si>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</si>
  <si>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</si>
  <si>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</si>
  <si>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</si>
  <si>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</si>
  <si>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</si>
  <si>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</si>
  <si>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</si>
  <si>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</si>
  <si>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</si>
  <si>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</si>
  <si>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</si>
  <si>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</si>
  <si>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</si>
  <si>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</si>
  <si>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</si>
  <si>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</si>
  <si>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</si>
  <si>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</si>
  <si>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</si>
  <si>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</si>
  <si>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</si>
  <si>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</si>
  <si>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</si>
  <si>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</si>
  <si>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</si>
  <si>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</si>
  <si>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</si>
  <si>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</si>
  <si>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</si>
  <si>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</si>
  <si>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</si>
  <si>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</si>
  <si>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</si>
  <si>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</si>
  <si>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</si>
  <si>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</si>
  <si>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</si>
  <si>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</si>
  <si>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</si>
  <si>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</si>
  <si>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</si>
  <si>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</si>
  <si>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</si>
  <si>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</si>
  <si>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</si>
  <si>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</si>
  <si>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</si>
  <si>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</si>
  <si>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</si>
  <si>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</si>
  <si>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</si>
  <si>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</si>
  <si>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</si>
  <si>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</si>
  <si>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</si>
  <si>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</si>
  <si>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</si>
  <si>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</si>
  <si>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</si>
  <si>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</si>
  <si>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</si>
  <si>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</si>
  <si>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</si>
  <si>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</si>
  <si>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</si>
  <si>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</si>
  <si>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</si>
  <si>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</si>
  <si>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</si>
  <si>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</si>
  <si>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</si>
  <si>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</si>
  <si>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</si>
  <si>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</si>
  <si>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</si>
  <si>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</si>
  <si>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</si>
  <si>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</si>
  <si>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</si>
  <si>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</si>
  <si>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</si>
  <si>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</si>
  <si>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</si>
  <si>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</si>
  <si>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</si>
  <si>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</si>
  <si>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</si>
  <si>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</si>
  <si>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</si>
  <si>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</si>
  <si>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</si>
  <si>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</si>
  <si>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</si>
  <si>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</si>
  <si>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</si>
  <si>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</si>
  <si>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</si>
  <si>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</si>
  <si>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</si>
  <si>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</si>
  <si>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</si>
  <si>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</si>
  <si>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</si>
  <si>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</si>
  <si>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</si>
  <si>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</si>
  <si>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</si>
  <si>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</si>
  <si>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</si>
  <si>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</si>
  <si>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</si>
  <si>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</si>
  <si>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</si>
  <si>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</si>
  <si>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</si>
  <si>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</si>
  <si>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</si>
  <si>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</si>
  <si>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</si>
  <si>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</si>
  <si>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</si>
  <si>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</si>
  <si>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</si>
  <si>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</si>
  <si>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</si>
  <si>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</si>
  <si>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</si>
  <si>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</si>
  <si>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</si>
  <si>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</si>
  <si>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</si>
  <si>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</si>
  <si>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</si>
  <si>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</si>
  <si>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</si>
  <si>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</si>
  <si>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</si>
  <si>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</si>
  <si>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</si>
  <si>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</si>
  <si>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</si>
  <si>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</si>
  <si>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</si>
  <si>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</si>
  <si>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</si>
  <si>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</si>
  <si>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</si>
  <si>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</si>
  <si>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</si>
  <si>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</si>
  <si>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</si>
  <si>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</si>
  <si>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</si>
  <si>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</si>
  <si>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</si>
  <si>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</si>
  <si>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</si>
  <si>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</si>
  <si>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</si>
  <si>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</si>
  <si>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</si>
  <si>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</si>
  <si>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</si>
  <si>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</si>
  <si>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</si>
  <si>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</si>
  <si>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</si>
  <si>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</si>
  <si>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</si>
  <si>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</si>
  <si>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</si>
  <si>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</si>
  <si>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</si>
  <si>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</si>
  <si>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</si>
  <si>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</si>
  <si>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</si>
  <si>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</si>
  <si>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</si>
  <si>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</si>
  <si>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</si>
  <si>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</si>
  <si>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</si>
  <si>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</si>
  <si>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</si>
  <si>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</si>
  <si>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</si>
  <si>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</si>
  <si>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</si>
  <si>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</si>
  <si>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</si>
  <si>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</si>
  <si>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</si>
  <si>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</si>
  <si>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</si>
  <si>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</si>
  <si>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</si>
  <si>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</si>
  <si>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</si>
  <si>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</si>
  <si>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</si>
  <si>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</si>
  <si>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</si>
  <si>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</si>
  <si>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</si>
  <si>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</si>
  <si>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</si>
  <si>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</si>
  <si>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</si>
  <si>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</si>
  <si>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</si>
  <si>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</si>
  <si>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</si>
  <si>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</si>
  <si>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</si>
  <si>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</si>
  <si>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</si>
  <si>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</si>
  <si>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</si>
  <si>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</si>
  <si>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</si>
  <si>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</si>
  <si>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</si>
  <si>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</si>
  <si>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</si>
  <si>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</si>
  <si>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</si>
  <si>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</si>
  <si>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</si>
  <si>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</si>
  <si>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</si>
  <si>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</si>
  <si>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</si>
  <si>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</si>
  <si>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</si>
  <si>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</si>
  <si>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</si>
  <si>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</si>
  <si>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</si>
  <si>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</si>
  <si>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</si>
  <si>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</si>
  <si>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</si>
  <si>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</si>
  <si>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</si>
  <si>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</si>
  <si>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</si>
  <si>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</si>
  <si>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</si>
  <si>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</si>
  <si>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</si>
  <si>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</si>
  <si>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</si>
  <si>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</si>
  <si>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</si>
  <si>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</si>
  <si>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</si>
  <si>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</si>
  <si>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</si>
  <si>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</si>
  <si>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</si>
  <si>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</si>
  <si>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</si>
  <si>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</si>
  <si>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</si>
  <si>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</si>
  <si>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</si>
  <si>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</si>
  <si>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</si>
  <si>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</si>
  <si>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</si>
  <si>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</si>
  <si>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</si>
  <si>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</si>
  <si>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</si>
  <si>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</si>
  <si>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</si>
  <si>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</si>
  <si>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</si>
  <si>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</si>
  <si>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</si>
  <si>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</si>
  <si>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</si>
  <si>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</si>
  <si>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</si>
  <si>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</si>
  <si>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</si>
  <si>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</si>
  <si>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</si>
  <si>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</si>
  <si>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</si>
  <si>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</si>
  <si>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</si>
  <si>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</si>
  <si>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</si>
  <si>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</si>
  <si>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</si>
  <si>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</si>
  <si>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</si>
  <si>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</si>
  <si>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</si>
  <si>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</si>
  <si>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</si>
  <si>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</si>
  <si>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</si>
  <si>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</si>
  <si>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</si>
  <si>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</si>
  <si>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</si>
  <si>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</si>
  <si>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</si>
  <si>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</si>
  <si>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</si>
  <si>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</si>
  <si>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</si>
  <si>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</si>
  <si>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</si>
  <si>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</si>
  <si>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</si>
  <si>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</si>
  <si>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</si>
  <si>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</si>
  <si>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</si>
  <si>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</si>
  <si>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</si>
  <si>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</si>
  <si>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</si>
  <si>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</si>
  <si>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</si>
  <si>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</si>
  <si>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</si>
  <si>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</si>
  <si>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</si>
  <si>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</si>
  <si>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</si>
  <si>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</si>
  <si>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</si>
  <si>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</si>
  <si>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</si>
  <si>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</si>
  <si>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</si>
  <si>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</si>
  <si>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</si>
  <si>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</si>
  <si>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</si>
  <si>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</si>
  <si>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</si>
  <si>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</si>
  <si>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</si>
  <si>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</si>
  <si>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</si>
  <si>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</si>
  <si>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</si>
  <si>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</si>
  <si>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</si>
  <si>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</si>
  <si>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</si>
  <si>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</si>
  <si>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</si>
  <si>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</si>
  <si>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</si>
  <si>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</si>
  <si>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</si>
  <si>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</si>
  <si>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</si>
  <si>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</si>
  <si>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</si>
  <si>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</si>
  <si>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</si>
  <si>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</si>
  <si>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</si>
  <si>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</si>
  <si>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</si>
  <si>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</si>
  <si>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</si>
  <si>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</si>
  <si>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</si>
  <si>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</si>
  <si>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</si>
  <si>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</si>
  <si>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</si>
  <si>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</si>
  <si>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</si>
  <si>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</si>
  <si>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</si>
  <si>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</si>
  <si>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</si>
  <si>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</si>
  <si>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</si>
  <si>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</si>
  <si>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</si>
  <si>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</si>
  <si>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</si>
  <si>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</si>
  <si>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</si>
  <si>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</si>
  <si>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</si>
  <si>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</si>
  <si>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</si>
  <si>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</si>
  <si>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</si>
  <si>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</si>
  <si>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</si>
  <si>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</si>
  <si>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</si>
  <si>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</si>
  <si>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</si>
  <si>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</si>
  <si>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</si>
  <si>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</si>
  <si>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</si>
  <si>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</si>
  <si>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</si>
  <si>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</si>
  <si>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</si>
  <si>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</si>
  <si>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</si>
  <si>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</si>
  <si>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</si>
  <si>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</si>
  <si>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</si>
  <si>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</si>
  <si>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</si>
  <si>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</si>
  <si>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</si>
  <si>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</si>
  <si>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</si>
  <si>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</si>
  <si>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</si>
  <si>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</si>
  <si>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</si>
  <si>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</si>
  <si>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</si>
  <si>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</si>
  <si>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</si>
  <si>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</si>
  <si>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</si>
  <si>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</si>
  <si>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</si>
  <si>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</si>
  <si>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</si>
  <si>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</si>
  <si>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</si>
  <si>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</si>
  <si>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</si>
  <si>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</si>
  <si>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</si>
  <si>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</si>
  <si>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</si>
  <si>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</si>
  <si>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</si>
  <si>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</si>
  <si>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</si>
  <si>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</si>
  <si>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</si>
  <si>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</si>
  <si>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</si>
  <si>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</si>
  <si>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</si>
  <si>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</si>
  <si>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</si>
  <si>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</si>
  <si>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</si>
  <si>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</si>
  <si>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</si>
  <si>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</si>
  <si>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</si>
  <si>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</si>
  <si>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</si>
  <si>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</si>
  <si>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</si>
  <si>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</si>
  <si>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</si>
  <si>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</si>
  <si>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</si>
  <si>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</si>
  <si>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</si>
  <si>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</si>
  <si>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</si>
  <si>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</si>
  <si>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</si>
  <si>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</si>
  <si>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</si>
  <si>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</si>
  <si>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</si>
  <si>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</si>
  <si>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</si>
  <si>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</si>
  <si>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</si>
  <si>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</si>
  <si>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</si>
  <si>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</si>
  <si>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</si>
  <si>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</si>
  <si>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</si>
  <si>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</si>
  <si>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</si>
  <si>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</si>
  <si>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</si>
  <si>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</si>
  <si>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</si>
  <si>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</si>
  <si>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</si>
  <si>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</si>
  <si>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</si>
  <si>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</si>
  <si>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</si>
  <si>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</si>
  <si>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</si>
  <si>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</si>
  <si>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</si>
  <si>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</si>
  <si>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</si>
  <si>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</si>
  <si>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</si>
  <si>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</si>
  <si>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</si>
  <si>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</si>
  <si>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</si>
  <si>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</si>
  <si>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</si>
  <si>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</si>
  <si>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</si>
  <si>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</si>
  <si>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</si>
  <si>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</si>
  <si>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</si>
  <si>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</si>
  <si>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</si>
  <si>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</si>
  <si>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</si>
  <si>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</si>
  <si>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</si>
  <si>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</si>
  <si>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</si>
  <si>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</si>
  <si>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</si>
  <si>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</si>
  <si>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</si>
  <si>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</si>
  <si>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</si>
  <si>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</si>
  <si>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</si>
  <si>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</si>
  <si>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</si>
  <si>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</si>
  <si>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</si>
  <si>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</si>
  <si>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</si>
  <si>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</si>
  <si>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</si>
  <si>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</si>
  <si>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</si>
  <si>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</si>
  <si>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</si>
  <si>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</si>
  <si>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</si>
  <si>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</si>
  <si>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</si>
  <si>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</si>
  <si>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</si>
  <si>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</si>
  <si>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</si>
  <si>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</si>
  <si>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</si>
  <si>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</si>
  <si>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</si>
  <si>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</si>
  <si>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</si>
  <si>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</si>
  <si>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</si>
  <si>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</si>
  <si>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</si>
  <si>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</si>
  <si>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</si>
  <si>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</si>
  <si>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</si>
  <si>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</si>
  <si>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</si>
  <si>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</si>
  <si>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</si>
  <si>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</si>
  <si>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</si>
  <si>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</si>
  <si>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</si>
  <si>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</si>
  <si>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</si>
  <si>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</si>
  <si>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</si>
  <si>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</si>
  <si>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</si>
  <si>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</si>
  <si>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</si>
  <si>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</si>
  <si>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</si>
  <si>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</si>
  <si>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</si>
  <si>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</si>
  <si>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</si>
  <si>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</si>
  <si>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</si>
  <si>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</si>
  <si>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</si>
  <si>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</si>
  <si>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</si>
  <si>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</si>
  <si>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</si>
  <si>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</si>
  <si>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</si>
  <si>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</si>
  <si>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</si>
  <si>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</si>
  <si>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</si>
  <si>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</si>
  <si>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</si>
  <si>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</si>
  <si>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</si>
  <si>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</si>
  <si>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</si>
  <si>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</si>
  <si>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</si>
  <si>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</si>
  <si>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</si>
  <si>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</si>
  <si>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</si>
  <si>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</si>
  <si>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</si>
  <si>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</si>
  <si>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</si>
  <si>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</si>
  <si>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</si>
  <si>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</si>
  <si>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</si>
  <si>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</si>
  <si>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</si>
  <si>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</si>
  <si>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</si>
  <si>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13016</t>
  </si>
  <si>
    <t>HULSHOUT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</si>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</sst>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95490.637915581814</c:v>
                </c:pt>
                <c:pt idx="1">
                  <c:v>17177.326005948147</c:v>
                </c:pt>
                <c:pt idx="2">
                  <c:v>813.48400000000004</c:v>
                </c:pt>
                <c:pt idx="3">
                  <c:v>4213.4633380353398</c:v>
                </c:pt>
                <c:pt idx="4">
                  <c:v>40229.401850032184</c:v>
                </c:pt>
                <c:pt idx="5">
                  <c:v>24232.744458946308</c:v>
                </c:pt>
                <c:pt idx="6">
                  <c:v>397.91433489908474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95490.637915581814</c:v>
                </c:pt>
                <c:pt idx="1">
                  <c:v>17177.326005948147</c:v>
                </c:pt>
                <c:pt idx="2">
                  <c:v>813.48400000000004</c:v>
                </c:pt>
                <c:pt idx="3">
                  <c:v>4213.4633380353398</c:v>
                </c:pt>
                <c:pt idx="4">
                  <c:v>40229.401850032184</c:v>
                </c:pt>
                <c:pt idx="5">
                  <c:v>24232.744458946308</c:v>
                </c:pt>
                <c:pt idx="6">
                  <c:v>397.91433489908474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17719.521373445303</c:v>
                </c:pt>
                <c:pt idx="1">
                  <c:v>3304.7130667024076</c:v>
                </c:pt>
                <c:pt idx="2">
                  <c:v>160.43102326415976</c:v>
                </c:pt>
                <c:pt idx="3">
                  <c:v>1043.2655394432013</c:v>
                </c:pt>
                <c:pt idx="4">
                  <c:v>7937.8474696844696</c:v>
                </c:pt>
                <c:pt idx="5">
                  <c:v>6056.5704493755347</c:v>
                </c:pt>
                <c:pt idx="6">
                  <c:v>100.53328087613858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17719.521373445303</c:v>
                </c:pt>
                <c:pt idx="1">
                  <c:v>3304.7130667024076</c:v>
                </c:pt>
                <c:pt idx="2">
                  <c:v>160.43102326415976</c:v>
                </c:pt>
                <c:pt idx="3">
                  <c:v>1043.2655394432013</c:v>
                </c:pt>
                <c:pt idx="4">
                  <c:v>7937.8474696844696</c:v>
                </c:pt>
                <c:pt idx="5">
                  <c:v>6056.5704493755347</c:v>
                </c:pt>
                <c:pt idx="6">
                  <c:v>100.53328087613858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13016</v>
      </c>
      <c r="B6" s="415"/>
      <c r="C6" s="416"/>
    </row>
    <row r="7" spans="1:7" s="413" customFormat="1" ht="15.75" customHeight="1">
      <c r="A7" s="417" t="str">
        <f>txtMunicipality</f>
        <v>HULSHOUT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4355</v>
      </c>
      <c r="C9" s="342">
        <v>4700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463.17</v>
      </c>
    </row>
    <row r="15" spans="1:6">
      <c r="A15" s="348" t="s">
        <v>184</v>
      </c>
      <c r="B15" s="334">
        <v>679</v>
      </c>
    </row>
    <row r="16" spans="1:6">
      <c r="A16" s="348" t="s">
        <v>6</v>
      </c>
      <c r="B16" s="334">
        <v>216</v>
      </c>
    </row>
    <row r="17" spans="1:6">
      <c r="A17" s="348" t="s">
        <v>7</v>
      </c>
      <c r="B17" s="334">
        <v>34</v>
      </c>
    </row>
    <row r="18" spans="1:6">
      <c r="A18" s="348" t="s">
        <v>8</v>
      </c>
      <c r="B18" s="334">
        <v>182</v>
      </c>
    </row>
    <row r="19" spans="1:6">
      <c r="A19" s="348" t="s">
        <v>9</v>
      </c>
      <c r="B19" s="334">
        <v>181</v>
      </c>
    </row>
    <row r="20" spans="1:6">
      <c r="A20" s="348" t="s">
        <v>10</v>
      </c>
      <c r="B20" s="334">
        <v>96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62278</v>
      </c>
    </row>
    <row r="29" spans="1:6">
      <c r="A29" s="355" t="s">
        <v>744</v>
      </c>
      <c r="B29" s="355">
        <v>64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126475.578686614</v>
      </c>
      <c r="E38" s="334">
        <v>0</v>
      </c>
      <c r="F38" s="334">
        <v>0</v>
      </c>
    </row>
    <row r="39" spans="1:6">
      <c r="A39" s="348" t="s">
        <v>30</v>
      </c>
      <c r="B39" s="348" t="s">
        <v>31</v>
      </c>
      <c r="C39" s="334">
        <v>2297</v>
      </c>
      <c r="D39" s="334">
        <v>36036556.117895901</v>
      </c>
      <c r="E39" s="334">
        <v>4388</v>
      </c>
      <c r="F39" s="334">
        <v>15711015.484170301</v>
      </c>
    </row>
    <row r="40" spans="1:6">
      <c r="A40" s="348" t="s">
        <v>30</v>
      </c>
      <c r="B40" s="348" t="s">
        <v>29</v>
      </c>
      <c r="C40" s="334">
        <v>0</v>
      </c>
      <c r="D40" s="334">
        <v>0</v>
      </c>
      <c r="E40" s="334">
        <v>0</v>
      </c>
      <c r="F40" s="334">
        <v>0</v>
      </c>
    </row>
    <row r="41" spans="1:6">
      <c r="A41" s="348" t="s">
        <v>32</v>
      </c>
      <c r="B41" s="348" t="s">
        <v>33</v>
      </c>
      <c r="C41" s="334">
        <v>19</v>
      </c>
      <c r="D41" s="334">
        <v>408525.388182303</v>
      </c>
      <c r="E41" s="334">
        <v>95</v>
      </c>
      <c r="F41" s="334">
        <v>959531.00648503401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4</v>
      </c>
      <c r="F45" s="334">
        <v>5188.5641777908004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33131392.893038198</v>
      </c>
      <c r="E48" s="334">
        <v>33</v>
      </c>
      <c r="F48" s="334">
        <v>4887231.0122964</v>
      </c>
    </row>
    <row r="49" spans="1:6">
      <c r="A49" s="348" t="s">
        <v>32</v>
      </c>
      <c r="B49" s="348" t="s">
        <v>40</v>
      </c>
      <c r="C49" s="334">
        <v>0</v>
      </c>
      <c r="D49" s="334">
        <v>0</v>
      </c>
      <c r="E49" s="334">
        <v>0</v>
      </c>
      <c r="F49" s="334">
        <v>0</v>
      </c>
    </row>
    <row r="50" spans="1:6">
      <c r="A50" s="348" t="s">
        <v>32</v>
      </c>
      <c r="B50" s="348" t="s">
        <v>41</v>
      </c>
      <c r="C50" s="334">
        <v>3</v>
      </c>
      <c r="D50" s="334">
        <v>68720.801164975303</v>
      </c>
      <c r="E50" s="334">
        <v>7</v>
      </c>
      <c r="F50" s="334">
        <v>298883.27112060902</v>
      </c>
    </row>
    <row r="51" spans="1:6">
      <c r="A51" s="348" t="s">
        <v>42</v>
      </c>
      <c r="B51" s="348" t="s">
        <v>43</v>
      </c>
      <c r="C51" s="334">
        <v>0</v>
      </c>
      <c r="D51" s="334">
        <v>0</v>
      </c>
      <c r="E51" s="334">
        <v>19</v>
      </c>
      <c r="F51" s="334">
        <v>641907.59652412101</v>
      </c>
    </row>
    <row r="52" spans="1:6">
      <c r="A52" s="348" t="s">
        <v>42</v>
      </c>
      <c r="B52" s="348" t="s">
        <v>29</v>
      </c>
      <c r="C52" s="334">
        <v>1</v>
      </c>
      <c r="D52" s="334">
        <v>18919.964683529601</v>
      </c>
      <c r="E52" s="334">
        <v>4</v>
      </c>
      <c r="F52" s="334">
        <v>23515.450568570399</v>
      </c>
    </row>
    <row r="53" spans="1:6">
      <c r="A53" s="348" t="s">
        <v>44</v>
      </c>
      <c r="B53" s="348" t="s">
        <v>45</v>
      </c>
      <c r="C53" s="334">
        <v>50</v>
      </c>
      <c r="D53" s="334">
        <v>712742.46229849698</v>
      </c>
      <c r="E53" s="334">
        <v>167</v>
      </c>
      <c r="F53" s="334">
        <v>561841.68053521204</v>
      </c>
    </row>
    <row r="54" spans="1:6">
      <c r="A54" s="348" t="s">
        <v>46</v>
      </c>
      <c r="B54" s="348" t="s">
        <v>47</v>
      </c>
      <c r="C54" s="334">
        <v>0</v>
      </c>
      <c r="D54" s="334">
        <v>0</v>
      </c>
      <c r="E54" s="334">
        <v>1</v>
      </c>
      <c r="F54" s="334">
        <v>813484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683652.93761396396</v>
      </c>
      <c r="E57" s="334">
        <v>34</v>
      </c>
      <c r="F57" s="334">
        <v>1045723.94503643</v>
      </c>
    </row>
    <row r="58" spans="1:6">
      <c r="A58" s="348" t="s">
        <v>49</v>
      </c>
      <c r="B58" s="348" t="s">
        <v>51</v>
      </c>
      <c r="C58" s="334">
        <v>7</v>
      </c>
      <c r="D58" s="334">
        <v>238029.96996339899</v>
      </c>
      <c r="E58" s="334">
        <v>9</v>
      </c>
      <c r="F58" s="334">
        <v>59360.2805515371</v>
      </c>
    </row>
    <row r="59" spans="1:6">
      <c r="A59" s="348" t="s">
        <v>49</v>
      </c>
      <c r="B59" s="348" t="s">
        <v>52</v>
      </c>
      <c r="C59" s="334">
        <v>17</v>
      </c>
      <c r="D59" s="334">
        <v>540956.13390866097</v>
      </c>
      <c r="E59" s="334">
        <v>82</v>
      </c>
      <c r="F59" s="334">
        <v>1939464.8664340801</v>
      </c>
    </row>
    <row r="60" spans="1:6">
      <c r="A60" s="348" t="s">
        <v>49</v>
      </c>
      <c r="B60" s="348" t="s">
        <v>53</v>
      </c>
      <c r="C60" s="334">
        <v>21</v>
      </c>
      <c r="D60" s="334">
        <v>1092099.96460335</v>
      </c>
      <c r="E60" s="334">
        <v>41</v>
      </c>
      <c r="F60" s="334">
        <v>1176058.30946921</v>
      </c>
    </row>
    <row r="61" spans="1:6">
      <c r="A61" s="348" t="s">
        <v>49</v>
      </c>
      <c r="B61" s="348" t="s">
        <v>54</v>
      </c>
      <c r="C61" s="334">
        <v>59</v>
      </c>
      <c r="D61" s="334">
        <v>2863814.88163159</v>
      </c>
      <c r="E61" s="334">
        <v>138</v>
      </c>
      <c r="F61" s="334">
        <v>1103928.2874958499</v>
      </c>
    </row>
    <row r="62" spans="1:6">
      <c r="A62" s="348" t="s">
        <v>49</v>
      </c>
      <c r="B62" s="348" t="s">
        <v>55</v>
      </c>
      <c r="C62" s="334">
        <v>3</v>
      </c>
      <c r="D62" s="334">
        <v>370703.72135457897</v>
      </c>
      <c r="E62" s="334">
        <v>3</v>
      </c>
      <c r="F62" s="334">
        <v>32862.391944137496</v>
      </c>
    </row>
    <row r="63" spans="1:6">
      <c r="A63" s="348" t="s">
        <v>49</v>
      </c>
      <c r="B63" s="348" t="s">
        <v>29</v>
      </c>
      <c r="C63" s="334">
        <v>72</v>
      </c>
      <c r="D63" s="334">
        <v>2391574.7493484402</v>
      </c>
      <c r="E63" s="334">
        <v>81</v>
      </c>
      <c r="F63" s="334">
        <v>1935928.14900079</v>
      </c>
    </row>
    <row r="64" spans="1:6">
      <c r="A64" s="348" t="s">
        <v>56</v>
      </c>
      <c r="B64" s="348" t="s">
        <v>57</v>
      </c>
      <c r="C64" s="334">
        <v>0</v>
      </c>
      <c r="D64" s="334">
        <v>0</v>
      </c>
      <c r="E64" s="334">
        <v>0</v>
      </c>
      <c r="F64" s="334">
        <v>0</v>
      </c>
    </row>
    <row r="65" spans="1:6">
      <c r="A65" s="348" t="s">
        <v>56</v>
      </c>
      <c r="B65" s="348" t="s">
        <v>29</v>
      </c>
      <c r="C65" s="334">
        <v>0</v>
      </c>
      <c r="D65" s="334">
        <v>0</v>
      </c>
      <c r="E65" s="334">
        <v>1</v>
      </c>
      <c r="F65" s="334">
        <v>16.451970943999999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135764.38262501199</v>
      </c>
      <c r="E68" s="334">
        <v>11</v>
      </c>
      <c r="F68" s="334">
        <v>172421.15369972799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26861577</v>
      </c>
      <c r="E73" s="476">
        <v>27285814.804501414</v>
      </c>
    </row>
    <row r="74" spans="1:6">
      <c r="A74" s="348" t="s">
        <v>64</v>
      </c>
      <c r="B74" s="348" t="s">
        <v>657</v>
      </c>
      <c r="C74" s="1213" t="s">
        <v>659</v>
      </c>
      <c r="D74" s="476">
        <v>1114821.4910651587</v>
      </c>
      <c r="E74" s="476">
        <v>1148768.7270908682</v>
      </c>
    </row>
    <row r="75" spans="1:6">
      <c r="A75" s="348" t="s">
        <v>65</v>
      </c>
      <c r="B75" s="348" t="s">
        <v>656</v>
      </c>
      <c r="C75" s="1213" t="s">
        <v>660</v>
      </c>
      <c r="D75" s="476">
        <v>5359685</v>
      </c>
      <c r="E75" s="476">
        <v>5444343.0861000037</v>
      </c>
    </row>
    <row r="76" spans="1:6">
      <c r="A76" s="348" t="s">
        <v>65</v>
      </c>
      <c r="B76" s="348" t="s">
        <v>657</v>
      </c>
      <c r="C76" s="1213" t="s">
        <v>661</v>
      </c>
      <c r="D76" s="476">
        <v>162165.49106515863</v>
      </c>
      <c r="E76" s="476">
        <v>167805.64498867831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107921.01786968274</v>
      </c>
      <c r="C83" s="476">
        <v>108396.00389777544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2473.3518759076583</v>
      </c>
    </row>
    <row r="92" spans="1:6">
      <c r="A92" s="341" t="s">
        <v>69</v>
      </c>
      <c r="B92" s="342">
        <v>1091.2225063345179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846</v>
      </c>
    </row>
    <row r="98" spans="1:6">
      <c r="A98" s="348" t="s">
        <v>72</v>
      </c>
      <c r="B98" s="334">
        <v>4</v>
      </c>
    </row>
    <row r="99" spans="1:6">
      <c r="A99" s="348" t="s">
        <v>73</v>
      </c>
      <c r="B99" s="334">
        <v>80</v>
      </c>
    </row>
    <row r="100" spans="1:6">
      <c r="A100" s="348" t="s">
        <v>74</v>
      </c>
      <c r="B100" s="334">
        <v>171</v>
      </c>
    </row>
    <row r="101" spans="1:6">
      <c r="A101" s="348" t="s">
        <v>75</v>
      </c>
      <c r="B101" s="334">
        <v>55</v>
      </c>
    </row>
    <row r="102" spans="1:6">
      <c r="A102" s="348" t="s">
        <v>76</v>
      </c>
      <c r="B102" s="334">
        <v>38</v>
      </c>
    </row>
    <row r="103" spans="1:6">
      <c r="A103" s="348" t="s">
        <v>77</v>
      </c>
      <c r="B103" s="334">
        <v>101</v>
      </c>
    </row>
    <row r="104" spans="1:6">
      <c r="A104" s="348" t="s">
        <v>78</v>
      </c>
      <c r="B104" s="334">
        <v>2194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33120.110442417521</v>
      </c>
      <c r="C3" s="43" t="s">
        <v>170</v>
      </c>
      <c r="D3" s="43"/>
      <c r="E3" s="154"/>
      <c r="F3" s="43"/>
      <c r="G3" s="43"/>
      <c r="H3" s="43"/>
      <c r="I3" s="43"/>
      <c r="J3" s="43"/>
      <c r="K3" s="96"/>
    </row>
    <row r="4" spans="1:11">
      <c r="A4" s="383" t="s">
        <v>171</v>
      </c>
      <c r="B4" s="49">
        <f>IF(ISERROR('SEAP template'!B69),0,'SEAP template'!B69)</f>
        <v>3564.5743822421764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0.19721472489214262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813.48400000000004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813.48400000000004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0.19721472489214262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160.43102326415976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15711.015484170301</v>
      </c>
      <c r="C5" s="17">
        <f>IF(ISERROR('Eigen informatie GS &amp; warmtenet'!B57),0,'Eigen informatie GS &amp; warmtenet'!B57)</f>
        <v>0</v>
      </c>
      <c r="D5" s="30">
        <f>(SUM(HH_hh_gas_kWh,HH_rest_gas_kWh)/1000)*0.902</f>
        <v>32504.973618342105</v>
      </c>
      <c r="E5" s="17">
        <f>B46*B57</f>
        <v>6293.3536100433257</v>
      </c>
      <c r="F5" s="17">
        <f>B51*B62</f>
        <v>22991.387366310591</v>
      </c>
      <c r="G5" s="18"/>
      <c r="H5" s="17"/>
      <c r="I5" s="17"/>
      <c r="J5" s="17">
        <f>B50*B61+C50*C61</f>
        <v>0</v>
      </c>
      <c r="K5" s="17"/>
      <c r="L5" s="17"/>
      <c r="M5" s="17"/>
      <c r="N5" s="17">
        <f>B48*B59+C48*C59</f>
        <v>14745.092627474496</v>
      </c>
      <c r="O5" s="17">
        <f>B69*B70*B71</f>
        <v>142.26333333333332</v>
      </c>
      <c r="P5" s="17">
        <f>B77*B78*B79/1000-B77*B78*B79/1000/B80</f>
        <v>629.20000000000005</v>
      </c>
    </row>
    <row r="6" spans="1:16">
      <c r="A6" s="16" t="s">
        <v>621</v>
      </c>
      <c r="B6" s="843">
        <f>kWh_PV_kleiner_dan_10kW</f>
        <v>2473.3518759076583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18184.367360077958</v>
      </c>
      <c r="C8" s="21">
        <f>C5</f>
        <v>0</v>
      </c>
      <c r="D8" s="21">
        <f>D5</f>
        <v>32504.973618342105</v>
      </c>
      <c r="E8" s="21">
        <f>E5</f>
        <v>6293.3536100433257</v>
      </c>
      <c r="F8" s="21">
        <f>F5</f>
        <v>22991.387366310591</v>
      </c>
      <c r="G8" s="21"/>
      <c r="H8" s="21"/>
      <c r="I8" s="21"/>
      <c r="J8" s="21">
        <f>J5</f>
        <v>0</v>
      </c>
      <c r="K8" s="21"/>
      <c r="L8" s="21">
        <f>L5</f>
        <v>0</v>
      </c>
      <c r="M8" s="21">
        <f>M5</f>
        <v>0</v>
      </c>
      <c r="N8" s="21">
        <f>N5</f>
        <v>14745.092627474496</v>
      </c>
      <c r="O8" s="21">
        <f>O5</f>
        <v>142.26333333333332</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0.19721472489214262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3586.2250062554322</v>
      </c>
      <c r="C12" s="23">
        <f ca="1">C10*C8</f>
        <v>0</v>
      </c>
      <c r="D12" s="23">
        <f>D8*D10</f>
        <v>6566.0046709051057</v>
      </c>
      <c r="E12" s="23">
        <f>E10*E8</f>
        <v>1428.5912694798351</v>
      </c>
      <c r="F12" s="23">
        <f>F10*F8</f>
        <v>6138.7004268049286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846</v>
      </c>
      <c r="C18" s="166" t="s">
        <v>111</v>
      </c>
      <c r="D18" s="228"/>
      <c r="E18" s="15"/>
    </row>
    <row r="19" spans="1:7">
      <c r="A19" s="171" t="s">
        <v>72</v>
      </c>
      <c r="B19" s="37">
        <f>aantalw2001_ander</f>
        <v>4</v>
      </c>
      <c r="C19" s="166" t="s">
        <v>111</v>
      </c>
      <c r="D19" s="229"/>
      <c r="E19" s="15"/>
    </row>
    <row r="20" spans="1:7">
      <c r="A20" s="171" t="s">
        <v>73</v>
      </c>
      <c r="B20" s="37">
        <f>aantalw2001_propaan</f>
        <v>80</v>
      </c>
      <c r="C20" s="167">
        <f>IF(ISERROR(B20/SUM($B$20,$B$21,$B$22)*100),0,B20/SUM($B$20,$B$21,$B$22)*100)</f>
        <v>26.143790849673206</v>
      </c>
      <c r="D20" s="229"/>
      <c r="E20" s="15"/>
    </row>
    <row r="21" spans="1:7">
      <c r="A21" s="171" t="s">
        <v>74</v>
      </c>
      <c r="B21" s="37">
        <f>aantalw2001_elektriciteit</f>
        <v>171</v>
      </c>
      <c r="C21" s="167">
        <f>IF(ISERROR(B21/SUM($B$20,$B$21,$B$22)*100),0,B21/SUM($B$20,$B$21,$B$22)*100)</f>
        <v>55.882352941176471</v>
      </c>
      <c r="D21" s="229"/>
      <c r="E21" s="15"/>
    </row>
    <row r="22" spans="1:7">
      <c r="A22" s="171" t="s">
        <v>75</v>
      </c>
      <c r="B22" s="37">
        <f>aantalw2001_hout</f>
        <v>55</v>
      </c>
      <c r="C22" s="167">
        <f>IF(ISERROR(B22/SUM($B$20,$B$21,$B$22)*100),0,B22/SUM($B$20,$B$21,$B$22)*100)</f>
        <v>17.973856209150327</v>
      </c>
      <c r="D22" s="229"/>
      <c r="E22" s="15"/>
    </row>
    <row r="23" spans="1:7">
      <c r="A23" s="171" t="s">
        <v>76</v>
      </c>
      <c r="B23" s="37">
        <f>aantalw2001_niet_gespec</f>
        <v>38</v>
      </c>
      <c r="C23" s="166" t="s">
        <v>111</v>
      </c>
      <c r="D23" s="228"/>
      <c r="E23" s="15"/>
    </row>
    <row r="24" spans="1:7">
      <c r="A24" s="171" t="s">
        <v>77</v>
      </c>
      <c r="B24" s="37">
        <f>aantalw2001_steenkool</f>
        <v>101</v>
      </c>
      <c r="C24" s="166" t="s">
        <v>111</v>
      </c>
      <c r="D24" s="229"/>
      <c r="E24" s="15"/>
    </row>
    <row r="25" spans="1:7">
      <c r="A25" s="171" t="s">
        <v>78</v>
      </c>
      <c r="B25" s="37">
        <f>aantalw2001_stookolie</f>
        <v>2194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4355</v>
      </c>
      <c r="C28" s="36"/>
      <c r="D28" s="228"/>
    </row>
    <row r="29" spans="1:7" s="15" customFormat="1">
      <c r="A29" s="230" t="s">
        <v>795</v>
      </c>
      <c r="B29" s="37">
        <f>SUM(HH_hh_gas_aantal,HH_rest_gas_aantal)</f>
        <v>2297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2297</v>
      </c>
      <c r="C32" s="167">
        <f>IF(ISERROR(B32/SUM($B$32,$B$34,$B$35,$B$36,$B$38,$B$39)*100),0,B32/SUM($B$32,$B$34,$B$35,$B$36,$B$38,$B$39)*100)</f>
        <v>53.146691346598793</v>
      </c>
      <c r="D32" s="233"/>
      <c r="G32" s="15"/>
    </row>
    <row r="33" spans="1:7">
      <c r="A33" s="171" t="s">
        <v>72</v>
      </c>
      <c r="B33" s="34" t="s">
        <v>111</v>
      </c>
      <c r="C33" s="167"/>
      <c r="D33" s="233"/>
      <c r="G33" s="15"/>
    </row>
    <row r="34" spans="1:7">
      <c r="A34" s="171" t="s">
        <v>73</v>
      </c>
      <c r="B34" s="33">
        <f>IF((($B$28-$B$32-$B$39-$B$77-$B$38)*C20/100)&lt;0,0,($B$28-$B$32-$B$39-$B$77-$B$38)*C20/100)</f>
        <v>297.22875816993468</v>
      </c>
      <c r="C34" s="167">
        <f>IF(ISERROR(B34/SUM($B$32,$B$34,$B$35,$B$36,$B$38,$B$39)*100),0,B34/SUM($B$32,$B$34,$B$35,$B$36,$B$38,$B$39)*100)</f>
        <v>6.8771114801002939</v>
      </c>
      <c r="D34" s="233"/>
      <c r="G34" s="15"/>
    </row>
    <row r="35" spans="1:7">
      <c r="A35" s="171" t="s">
        <v>74</v>
      </c>
      <c r="B35" s="33">
        <f>IF((($B$28-$B$32-$B$39-$B$77-$B$38)*C21/100)&lt;0,0,($B$28-$B$32-$B$39-$B$77-$B$38)*C21/100)</f>
        <v>635.32647058823534</v>
      </c>
      <c r="C35" s="167">
        <f>IF(ISERROR(B35/SUM($B$32,$B$34,$B$35,$B$36,$B$38,$B$39)*100),0,B35/SUM($B$32,$B$34,$B$35,$B$36,$B$38,$B$39)*100)</f>
        <v>14.699825788714376</v>
      </c>
      <c r="D35" s="233"/>
      <c r="G35" s="15"/>
    </row>
    <row r="36" spans="1:7">
      <c r="A36" s="171" t="s">
        <v>75</v>
      </c>
      <c r="B36" s="33">
        <f>IF((($B$28-$B$32-$B$39-$B$77-$B$38)*C22/100)&lt;0,0,($B$28-$B$32-$B$39-$B$77-$B$38)*C22/100)</f>
        <v>204.3447712418301</v>
      </c>
      <c r="C36" s="167">
        <f>IF(ISERROR(B36/SUM($B$32,$B$34,$B$35,$B$36,$B$38,$B$39)*100),0,B36/SUM($B$32,$B$34,$B$35,$B$36,$B$38,$B$39)*100)</f>
        <v>4.7280141425689513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888.09999999999991</v>
      </c>
      <c r="C39" s="167">
        <f>IF(ISERROR(B39/SUM($B$32,$B$34,$B$35,$B$36,$B$38,$B$39)*100),0,B39/SUM($B$32,$B$34,$B$35,$B$36,$B$38,$B$39)*100)</f>
        <v>20.54835724201758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2297</v>
      </c>
      <c r="C44" s="34" t="s">
        <v>111</v>
      </c>
      <c r="D44" s="174"/>
    </row>
    <row r="45" spans="1:7">
      <c r="A45" s="171" t="s">
        <v>72</v>
      </c>
      <c r="B45" s="33" t="str">
        <f t="shared" si="0"/>
        <v>-</v>
      </c>
      <c r="C45" s="34" t="s">
        <v>111</v>
      </c>
      <c r="D45" s="174"/>
    </row>
    <row r="46" spans="1:7">
      <c r="A46" s="171" t="s">
        <v>73</v>
      </c>
      <c r="B46" s="33">
        <f t="shared" si="0"/>
        <v>297.22875816993468</v>
      </c>
      <c r="C46" s="34" t="s">
        <v>111</v>
      </c>
      <c r="D46" s="174"/>
    </row>
    <row r="47" spans="1:7">
      <c r="A47" s="171" t="s">
        <v>74</v>
      </c>
      <c r="B47" s="33">
        <f t="shared" si="0"/>
        <v>635.32647058823534</v>
      </c>
      <c r="C47" s="34" t="s">
        <v>111</v>
      </c>
      <c r="D47" s="174"/>
    </row>
    <row r="48" spans="1:7">
      <c r="A48" s="171" t="s">
        <v>75</v>
      </c>
      <c r="B48" s="33">
        <f t="shared" si="0"/>
        <v>204.3447712418301</v>
      </c>
      <c r="C48" s="33">
        <f>B48*10</f>
        <v>2043.4477124183011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888.09999999999991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7293.3262299320349</v>
      </c>
      <c r="C5" s="17">
        <f>IF(ISERROR('Eigen informatie GS &amp; warmtenet'!B58),0,'Eigen informatie GS &amp; warmtenet'!B58)</f>
        <v>0</v>
      </c>
      <c r="D5" s="30">
        <f>SUM(D6:D12)</f>
        <v>7379.1107872984321</v>
      </c>
      <c r="E5" s="17">
        <f>SUM(E6:E12)</f>
        <v>112.97837398401182</v>
      </c>
      <c r="F5" s="17">
        <f>SUM(F6:F12)</f>
        <v>1311.331745243019</v>
      </c>
      <c r="G5" s="18"/>
      <c r="H5" s="17"/>
      <c r="I5" s="17"/>
      <c r="J5" s="17">
        <f>SUM(J6:J12)</f>
        <v>2.7386466590952462E-2</v>
      </c>
      <c r="K5" s="17"/>
      <c r="L5" s="17"/>
      <c r="M5" s="17"/>
      <c r="N5" s="17">
        <f>SUM(N6:N12)</f>
        <v>1080.5514830240622</v>
      </c>
      <c r="O5" s="17">
        <f>B38*B39*B40</f>
        <v>0</v>
      </c>
      <c r="P5" s="17">
        <f>B46*B47*B48/1000-B46*B47*B48/1000/B49</f>
        <v>0</v>
      </c>
      <c r="R5" s="32"/>
    </row>
    <row r="6" spans="1:18">
      <c r="A6" s="32" t="s">
        <v>54</v>
      </c>
      <c r="B6" s="37">
        <f>B26</f>
        <v>1103.9282874958499</v>
      </c>
      <c r="C6" s="33"/>
      <c r="D6" s="37">
        <f>IF(ISERROR(TER_kantoor_gas_kWh/1000),0,TER_kantoor_gas_kWh/1000)*0.902</f>
        <v>2583.1610232316939</v>
      </c>
      <c r="E6" s="33">
        <f>$C$26*'E Balans VL '!I12/100/3.6*1000000</f>
        <v>6.9190553452276584E-3</v>
      </c>
      <c r="F6" s="33">
        <f>$C$26*('E Balans VL '!L12+'E Balans VL '!N12)/100/3.6*1000000</f>
        <v>165.88957491230789</v>
      </c>
      <c r="G6" s="34"/>
      <c r="H6" s="33"/>
      <c r="I6" s="33"/>
      <c r="J6" s="33">
        <f>$C$26*('E Balans VL '!D12+'E Balans VL '!E12)/100/3.6*1000000</f>
        <v>0</v>
      </c>
      <c r="K6" s="33"/>
      <c r="L6" s="33"/>
      <c r="M6" s="33"/>
      <c r="N6" s="33">
        <f>$C$26*'E Balans VL '!Y12/100/3.6*1000000</f>
        <v>1.0557437316587466</v>
      </c>
      <c r="O6" s="33"/>
      <c r="P6" s="33"/>
      <c r="R6" s="32"/>
    </row>
    <row r="7" spans="1:18">
      <c r="A7" s="32" t="s">
        <v>53</v>
      </c>
      <c r="B7" s="37">
        <f t="shared" ref="B7:B12" si="0">B27</f>
        <v>1176.0583094692099</v>
      </c>
      <c r="C7" s="33"/>
      <c r="D7" s="37">
        <f>IF(ISERROR(TER_horeca_gas_kWh/1000),0,TER_horeca_gas_kWh/1000)*0.902</f>
        <v>985.07416807222182</v>
      </c>
      <c r="E7" s="33">
        <f>$C$27*'E Balans VL '!I9/100/3.6*1000000</f>
        <v>16.840959097680503</v>
      </c>
      <c r="F7" s="33">
        <f>$C$27*('E Balans VL '!L9+'E Balans VL '!N9)/100/3.6*1000000</f>
        <v>148.92776987618555</v>
      </c>
      <c r="G7" s="34"/>
      <c r="H7" s="33"/>
      <c r="I7" s="33"/>
      <c r="J7" s="33">
        <f>$C$27*('E Balans VL '!D9+'E Balans VL '!E9)/100/3.6*1000000</f>
        <v>0</v>
      </c>
      <c r="K7" s="33"/>
      <c r="L7" s="33"/>
      <c r="M7" s="33"/>
      <c r="N7" s="33">
        <f>$C$27*'E Balans VL '!Y9/100/3.6*1000000</f>
        <v>0.33809083411248453</v>
      </c>
      <c r="O7" s="33"/>
      <c r="P7" s="33"/>
      <c r="R7" s="32"/>
    </row>
    <row r="8" spans="1:18">
      <c r="A8" s="6" t="s">
        <v>52</v>
      </c>
      <c r="B8" s="37">
        <f t="shared" si="0"/>
        <v>1939.46486643408</v>
      </c>
      <c r="C8" s="33"/>
      <c r="D8" s="37">
        <f>IF(ISERROR(TER_handel_gas_kWh/1000),0,TER_handel_gas_kWh/1000)*0.902</f>
        <v>487.9424327856122</v>
      </c>
      <c r="E8" s="33">
        <f>$C$28*'E Balans VL '!I13/100/3.6*1000000</f>
        <v>70.344151541471675</v>
      </c>
      <c r="F8" s="33">
        <f>$C$28*('E Balans VL '!L13+'E Balans VL '!N13)/100/3.6*1000000</f>
        <v>373.56057160554252</v>
      </c>
      <c r="G8" s="34"/>
      <c r="H8" s="33"/>
      <c r="I8" s="33"/>
      <c r="J8" s="33">
        <f>$C$28*('E Balans VL '!D13+'E Balans VL '!E13)/100/3.6*1000000</f>
        <v>0</v>
      </c>
      <c r="K8" s="33"/>
      <c r="L8" s="33"/>
      <c r="M8" s="33"/>
      <c r="N8" s="33">
        <f>$C$28*'E Balans VL '!Y13/100/3.6*1000000</f>
        <v>2.6866050909747705</v>
      </c>
      <c r="O8" s="33"/>
      <c r="P8" s="33"/>
      <c r="R8" s="32"/>
    </row>
    <row r="9" spans="1:18">
      <c r="A9" s="32" t="s">
        <v>51</v>
      </c>
      <c r="B9" s="37">
        <f t="shared" si="0"/>
        <v>59.360280551537102</v>
      </c>
      <c r="C9" s="33"/>
      <c r="D9" s="37">
        <f>IF(ISERROR(TER_gezond_gas_kWh/1000),0,TER_gezond_gas_kWh/1000)*0.902</f>
        <v>214.7030329069859</v>
      </c>
      <c r="E9" s="33">
        <f>$C$29*'E Balans VL '!I10/100/3.6*1000000</f>
        <v>3.7165396394157569E-3</v>
      </c>
      <c r="F9" s="33">
        <f>$C$29*('E Balans VL '!L10+'E Balans VL '!N10)/100/3.6*1000000</f>
        <v>8.8181504107728426</v>
      </c>
      <c r="G9" s="34"/>
      <c r="H9" s="33"/>
      <c r="I9" s="33"/>
      <c r="J9" s="33">
        <f>$C$29*('E Balans VL '!D10+'E Balans VL '!E10)/100/3.6*1000000</f>
        <v>0</v>
      </c>
      <c r="K9" s="33"/>
      <c r="L9" s="33"/>
      <c r="M9" s="33"/>
      <c r="N9" s="33">
        <f>$C$29*'E Balans VL '!Y10/100/3.6*1000000</f>
        <v>0.91819054734863792</v>
      </c>
      <c r="O9" s="33"/>
      <c r="P9" s="33"/>
      <c r="R9" s="32"/>
    </row>
    <row r="10" spans="1:18">
      <c r="A10" s="32" t="s">
        <v>50</v>
      </c>
      <c r="B10" s="37">
        <f t="shared" si="0"/>
        <v>1045.72394503643</v>
      </c>
      <c r="C10" s="33"/>
      <c r="D10" s="37">
        <f>IF(ISERROR(TER_ander_gas_kWh/1000),0,TER_ander_gas_kWh/1000)*0.902</f>
        <v>616.65494972779561</v>
      </c>
      <c r="E10" s="33">
        <f>$C$30*'E Balans VL '!I14/100/3.6*1000000</f>
        <v>1.2464655746236877</v>
      </c>
      <c r="F10" s="33">
        <f>$C$30*('E Balans VL '!L14+'E Balans VL '!N14)/100/3.6*1000000</f>
        <v>273.60787325671572</v>
      </c>
      <c r="G10" s="34"/>
      <c r="H10" s="33"/>
      <c r="I10" s="33"/>
      <c r="J10" s="33">
        <f>$C$30*('E Balans VL '!D14+'E Balans VL '!E14)/100/3.6*1000000</f>
        <v>2.2698567722061212E-2</v>
      </c>
      <c r="K10" s="33"/>
      <c r="L10" s="33"/>
      <c r="M10" s="33"/>
      <c r="N10" s="33">
        <f>$C$30*'E Balans VL '!Y14/100/3.6*1000000</f>
        <v>888.00318562018504</v>
      </c>
      <c r="O10" s="33"/>
      <c r="P10" s="33"/>
      <c r="R10" s="32"/>
    </row>
    <row r="11" spans="1:18">
      <c r="A11" s="32" t="s">
        <v>55</v>
      </c>
      <c r="B11" s="37">
        <f t="shared" si="0"/>
        <v>32.862391944137499</v>
      </c>
      <c r="C11" s="33"/>
      <c r="D11" s="37">
        <f>IF(ISERROR(TER_onderwijs_gas_kWh/1000),0,TER_onderwijs_gas_kWh/1000)*0.902</f>
        <v>334.37475666183025</v>
      </c>
      <c r="E11" s="33">
        <f>$C$31*'E Balans VL '!I11/100/3.6*1000000</f>
        <v>0.49584056452171932</v>
      </c>
      <c r="F11" s="33">
        <f>$C$31*('E Balans VL '!L11+'E Balans VL '!N11)/100/3.6*1000000</f>
        <v>5.7580160609425439</v>
      </c>
      <c r="G11" s="34"/>
      <c r="H11" s="33"/>
      <c r="I11" s="33"/>
      <c r="J11" s="33">
        <f>$C$31*('E Balans VL '!D11+'E Balans VL '!E11)/100/3.6*1000000</f>
        <v>0</v>
      </c>
      <c r="K11" s="33"/>
      <c r="L11" s="33"/>
      <c r="M11" s="33"/>
      <c r="N11" s="33">
        <f>$C$31*'E Balans VL '!Y11/100/3.6*1000000</f>
        <v>9.2477269224978231E-2</v>
      </c>
      <c r="O11" s="33"/>
      <c r="P11" s="33"/>
      <c r="R11" s="32"/>
    </row>
    <row r="12" spans="1:18">
      <c r="A12" s="32" t="s">
        <v>260</v>
      </c>
      <c r="B12" s="37">
        <f t="shared" si="0"/>
        <v>1935.92814900079</v>
      </c>
      <c r="C12" s="33"/>
      <c r="D12" s="37">
        <f>IF(ISERROR(TER_rest_gas_kWh/1000),0,TER_rest_gas_kWh/1000)*0.902</f>
        <v>2157.200423912293</v>
      </c>
      <c r="E12" s="33">
        <f>$C$32*'E Balans VL '!I8/100/3.6*1000000</f>
        <v>24.04032161072961</v>
      </c>
      <c r="F12" s="33">
        <f>$C$32*('E Balans VL '!L8+'E Balans VL '!N8)/100/3.6*1000000</f>
        <v>334.76978912055188</v>
      </c>
      <c r="G12" s="34"/>
      <c r="H12" s="33"/>
      <c r="I12" s="33"/>
      <c r="J12" s="33">
        <f>$C$32*('E Balans VL '!D8+'E Balans VL '!E8)/100/3.6*1000000</f>
        <v>4.68789886889125E-3</v>
      </c>
      <c r="K12" s="33"/>
      <c r="L12" s="33"/>
      <c r="M12" s="33"/>
      <c r="N12" s="33">
        <f>$C$32*'E Balans VL '!Y8/100/3.6*1000000</f>
        <v>187.45718993055766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7293.3262299320349</v>
      </c>
      <c r="C16" s="21">
        <f t="shared" ca="1" si="1"/>
        <v>0</v>
      </c>
      <c r="D16" s="21">
        <f t="shared" ca="1" si="1"/>
        <v>7379.1107872984321</v>
      </c>
      <c r="E16" s="21">
        <f t="shared" si="1"/>
        <v>112.97837398401182</v>
      </c>
      <c r="F16" s="21">
        <f t="shared" ca="1" si="1"/>
        <v>1311.331745243019</v>
      </c>
      <c r="G16" s="21">
        <f t="shared" si="1"/>
        <v>0</v>
      </c>
      <c r="H16" s="21">
        <f t="shared" si="1"/>
        <v>0</v>
      </c>
      <c r="I16" s="21">
        <f t="shared" si="1"/>
        <v>0</v>
      </c>
      <c r="J16" s="21">
        <f t="shared" si="1"/>
        <v>2.7386466590952462E-2</v>
      </c>
      <c r="K16" s="21">
        <f t="shared" si="1"/>
        <v>0</v>
      </c>
      <c r="L16" s="21">
        <f t="shared" ca="1" si="1"/>
        <v>0</v>
      </c>
      <c r="M16" s="21">
        <f t="shared" si="1"/>
        <v>0</v>
      </c>
      <c r="N16" s="21">
        <f t="shared" ca="1" si="1"/>
        <v>1080.5514830240622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0.19721472489214262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1438.3513259846939</v>
      </c>
      <c r="C20" s="23">
        <f t="shared" ref="C20:P20" ca="1" si="2">C16*C18</f>
        <v>0</v>
      </c>
      <c r="D20" s="23">
        <f t="shared" ca="1" si="2"/>
        <v>1490.5803790342834</v>
      </c>
      <c r="E20" s="23">
        <f t="shared" si="2"/>
        <v>25.646090894370683</v>
      </c>
      <c r="F20" s="23">
        <f t="shared" ca="1" si="2"/>
        <v>350.12557597988609</v>
      </c>
      <c r="G20" s="23">
        <f t="shared" si="2"/>
        <v>0</v>
      </c>
      <c r="H20" s="23">
        <f t="shared" si="2"/>
        <v>0</v>
      </c>
      <c r="I20" s="23">
        <f t="shared" si="2"/>
        <v>0</v>
      </c>
      <c r="J20" s="23">
        <f t="shared" si="2"/>
        <v>9.6948091731971706E-3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1103.9282874958499</v>
      </c>
      <c r="C26" s="39">
        <f>IF(ISERROR(B26*3.6/1000000/'E Balans VL '!Z12*100),0,B26*3.6/1000000/'E Balans VL '!Z12*100)</f>
        <v>2.3335295233998368E-2</v>
      </c>
      <c r="D26" s="237" t="s">
        <v>754</v>
      </c>
      <c r="F26" s="6"/>
    </row>
    <row r="27" spans="1:18">
      <c r="A27" s="231" t="s">
        <v>53</v>
      </c>
      <c r="B27" s="33">
        <f>IF(ISERROR(TER_horeca_ele_kWh/1000),0,TER_horeca_ele_kWh/1000)</f>
        <v>1176.0583094692099</v>
      </c>
      <c r="C27" s="39">
        <f>IF(ISERROR(B27*3.6/1000000/'E Balans VL '!Z9*100),0,B27*3.6/1000000/'E Balans VL '!Z9*100)</f>
        <v>9.2708238196147846E-2</v>
      </c>
      <c r="D27" s="237" t="s">
        <v>754</v>
      </c>
      <c r="F27" s="6"/>
    </row>
    <row r="28" spans="1:18">
      <c r="A28" s="171" t="s">
        <v>52</v>
      </c>
      <c r="B28" s="33">
        <f>IF(ISERROR(TER_handel_ele_kWh/1000),0,TER_handel_ele_kWh/1000)</f>
        <v>1939.46486643408</v>
      </c>
      <c r="C28" s="39">
        <f>IF(ISERROR(B28*3.6/1000000/'E Balans VL '!Z13*100),0,B28*3.6/1000000/'E Balans VL '!Z13*100)</f>
        <v>5.6291106740084459E-2</v>
      </c>
      <c r="D28" s="237" t="s">
        <v>754</v>
      </c>
      <c r="F28" s="6"/>
    </row>
    <row r="29" spans="1:18">
      <c r="A29" s="231" t="s">
        <v>51</v>
      </c>
      <c r="B29" s="33">
        <f>IF(ISERROR(TER_gezond_ele_kWh/1000),0,TER_gezond_ele_kWh/1000)</f>
        <v>59.360280551537102</v>
      </c>
      <c r="C29" s="39">
        <f>IF(ISERROR(B29*3.6/1000000/'E Balans VL '!Z10*100),0,B29*3.6/1000000/'E Balans VL '!Z10*100)</f>
        <v>6.2516122636123951E-3</v>
      </c>
      <c r="D29" s="237" t="s">
        <v>754</v>
      </c>
      <c r="F29" s="6"/>
    </row>
    <row r="30" spans="1:18">
      <c r="A30" s="231" t="s">
        <v>50</v>
      </c>
      <c r="B30" s="33">
        <f>IF(ISERROR(TER_ander_ele_kWh/1000),0,TER_ander_ele_kWh/1000)</f>
        <v>1045.72394503643</v>
      </c>
      <c r="C30" s="39">
        <f>IF(ISERROR(B30*3.6/1000000/'E Balans VL '!Z14*100),0,B30*3.6/1000000/'E Balans VL '!Z14*100)</f>
        <v>7.7132825315998105E-2</v>
      </c>
      <c r="D30" s="237" t="s">
        <v>754</v>
      </c>
      <c r="F30" s="6"/>
    </row>
    <row r="31" spans="1:18">
      <c r="A31" s="231" t="s">
        <v>55</v>
      </c>
      <c r="B31" s="33">
        <f>IF(ISERROR(TER_onderwijs_ele_kWh/1000),0,TER_onderwijs_ele_kWh/1000)</f>
        <v>32.862391944137499</v>
      </c>
      <c r="C31" s="39">
        <f>IF(ISERROR(B31*3.6/1000000/'E Balans VL '!Z11*100),0,B31*3.6/1000000/'E Balans VL '!Z11*100)</f>
        <v>8.1612712848243858E-3</v>
      </c>
      <c r="D31" s="237" t="s">
        <v>754</v>
      </c>
    </row>
    <row r="32" spans="1:18">
      <c r="A32" s="231" t="s">
        <v>260</v>
      </c>
      <c r="B32" s="33">
        <f>IF(ISERROR(TER_rest_ele_kWh/1000),0,TER_rest_ele_kWh/1000)</f>
        <v>1935.92814900079</v>
      </c>
      <c r="C32" s="39">
        <f>IF(ISERROR(B32*3.6/1000000/'E Balans VL '!Z8*100),0,B32*3.6/1000000/'E Balans VL '!Z8*100)</f>
        <v>1.59301189828738E-2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6150.8338540798341</v>
      </c>
      <c r="C5" s="17">
        <f>IF(ISERROR('Eigen informatie GS &amp; warmtenet'!B59),0,'Eigen informatie GS &amp; warmtenet'!B59)</f>
        <v>0</v>
      </c>
      <c r="D5" s="30">
        <f>SUM(D6:D15)</f>
        <v>30314.992452311697</v>
      </c>
      <c r="E5" s="17">
        <f>SUM(E6:E15)</f>
        <v>551.12534088341727</v>
      </c>
      <c r="F5" s="17">
        <f>SUM(F6:F15)</f>
        <v>1759.8571704225346</v>
      </c>
      <c r="G5" s="18"/>
      <c r="H5" s="17"/>
      <c r="I5" s="17"/>
      <c r="J5" s="17">
        <f>SUM(J6:J15)</f>
        <v>17.504720464749987</v>
      </c>
      <c r="K5" s="17"/>
      <c r="L5" s="17"/>
      <c r="M5" s="17"/>
      <c r="N5" s="17">
        <f>SUM(N6:N15)</f>
        <v>1435.0883118699576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959.53100648503403</v>
      </c>
      <c r="C9" s="33"/>
      <c r="D9" s="37">
        <f>IF( ISERROR(IND_andere_gas_kWh/1000),0,IND_andere_gas_kWh/1000)*0.902</f>
        <v>368.48990014043733</v>
      </c>
      <c r="E9" s="33">
        <f>C31*'E Balans VL '!I19/100/3.6*1000000</f>
        <v>280.48959306099425</v>
      </c>
      <c r="F9" s="33">
        <f>C31*'E Balans VL '!L19/100/3.6*1000000+C31*'E Balans VL '!N19/100/3.6*1000000</f>
        <v>771.0557935342573</v>
      </c>
      <c r="G9" s="34"/>
      <c r="H9" s="33"/>
      <c r="I9" s="33"/>
      <c r="J9" s="40">
        <f>C31*'E Balans VL '!D19/100/3.6*1000000+C31*'E Balans VL '!E19/100/3.6*1000000</f>
        <v>0</v>
      </c>
      <c r="K9" s="33"/>
      <c r="L9" s="33"/>
      <c r="M9" s="33"/>
      <c r="N9" s="33">
        <f>C31*'E Balans VL '!Y19/100/3.6*1000000</f>
        <v>317.04392581348276</v>
      </c>
      <c r="O9" s="33"/>
      <c r="P9" s="33"/>
      <c r="R9" s="32"/>
    </row>
    <row r="10" spans="1:18">
      <c r="A10" s="6" t="s">
        <v>41</v>
      </c>
      <c r="B10" s="37">
        <f t="shared" si="0"/>
        <v>298.88327112060904</v>
      </c>
      <c r="C10" s="33"/>
      <c r="D10" s="37">
        <f>IF( ISERROR(IND_voed_gas_kWh/1000),0,IND_voed_gas_kWh/1000)*0.902</f>
        <v>61.986162650807721</v>
      </c>
      <c r="E10" s="33">
        <f>C32*'E Balans VL '!I20/100/3.6*1000000</f>
        <v>0.63229219429565442</v>
      </c>
      <c r="F10" s="33">
        <f>C32*'E Balans VL '!L20/100/3.6*1000000+C32*'E Balans VL '!N20/100/3.6*1000000</f>
        <v>19.003303678156978</v>
      </c>
      <c r="G10" s="34"/>
      <c r="H10" s="33"/>
      <c r="I10" s="33"/>
      <c r="J10" s="40">
        <f>C32*'E Balans VL '!D20/100/3.6*1000000+C32*'E Balans VL '!E20/100/3.6*1000000</f>
        <v>0</v>
      </c>
      <c r="K10" s="33"/>
      <c r="L10" s="33"/>
      <c r="M10" s="33"/>
      <c r="N10" s="33">
        <f>C32*'E Balans VL '!Y20/100/3.6*1000000</f>
        <v>20.625895159510073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5.1885641777908003</v>
      </c>
      <c r="C12" s="33"/>
      <c r="D12" s="37">
        <f>IF( ISERROR(IND_min_gas_kWh/1000),0,IND_min_gas_kWh/1000)*0.902</f>
        <v>0</v>
      </c>
      <c r="E12" s="33">
        <f>C34*'E Balans VL '!I22/100/3.6*1000000</f>
        <v>0.15039511074954887</v>
      </c>
      <c r="F12" s="33">
        <f>C34*'E Balans VL '!L22/100/3.6*1000000+C34*'E Balans VL '!N22/100/3.6*1000000</f>
        <v>1.783886996406425</v>
      </c>
      <c r="G12" s="34"/>
      <c r="H12" s="33"/>
      <c r="I12" s="33"/>
      <c r="J12" s="40">
        <f>C34*'E Balans VL '!D22/100/3.6*1000000+C34*'E Balans VL '!E22/100/3.6*1000000</f>
        <v>8.5263744946028532E-3</v>
      </c>
      <c r="K12" s="33"/>
      <c r="L12" s="33"/>
      <c r="M12" s="33"/>
      <c r="N12" s="33">
        <f>C34*'E Balans VL '!Y22/100/3.6*1000000</f>
        <v>1.1358619637048888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4887.2310122964</v>
      </c>
      <c r="C15" s="33"/>
      <c r="D15" s="37">
        <f>IF( ISERROR(IND_rest_gas_kWh/1000),0,IND_rest_gas_kWh/1000)*0.902</f>
        <v>29884.516389520453</v>
      </c>
      <c r="E15" s="33">
        <f>C37*'E Balans VL '!I15/100/3.6*1000000</f>
        <v>269.85306051737786</v>
      </c>
      <c r="F15" s="33">
        <f>C37*'E Balans VL '!L15/100/3.6*1000000+C37*'E Balans VL '!N15/100/3.6*1000000</f>
        <v>968.01418621371408</v>
      </c>
      <c r="G15" s="34"/>
      <c r="H15" s="33"/>
      <c r="I15" s="33"/>
      <c r="J15" s="40">
        <f>C37*'E Balans VL '!D15/100/3.6*1000000+C37*'E Balans VL '!E15/100/3.6*1000000</f>
        <v>17.496194090255383</v>
      </c>
      <c r="K15" s="33"/>
      <c r="L15" s="33"/>
      <c r="M15" s="33"/>
      <c r="N15" s="33">
        <f>C37*'E Balans VL '!Y15/100/3.6*1000000</f>
        <v>1096.2826289332597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6150.8338540798341</v>
      </c>
      <c r="C18" s="21">
        <f>C5+C16</f>
        <v>0</v>
      </c>
      <c r="D18" s="21">
        <f>MAX((D5+D16),0)</f>
        <v>30314.992452311697</v>
      </c>
      <c r="E18" s="21">
        <f>MAX((E5+E16),0)</f>
        <v>551.12534088341727</v>
      </c>
      <c r="F18" s="21">
        <f>MAX((F5+F16),0)</f>
        <v>1759.8571704225346</v>
      </c>
      <c r="G18" s="21"/>
      <c r="H18" s="21"/>
      <c r="I18" s="21"/>
      <c r="J18" s="21">
        <f>MAX((J5+J16),0)</f>
        <v>17.504720464749987</v>
      </c>
      <c r="K18" s="21"/>
      <c r="L18" s="21">
        <f>MAX((L5+L16),0)</f>
        <v>0</v>
      </c>
      <c r="M18" s="21"/>
      <c r="N18" s="21">
        <f>MAX((N5+N16),0)</f>
        <v>1435.0883118699576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0.19721472489214262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1213.0350063896317</v>
      </c>
      <c r="C22" s="23">
        <f ca="1">C18*C20</f>
        <v>0</v>
      </c>
      <c r="D22" s="23">
        <f>D18*D20</f>
        <v>6123.6284753669634</v>
      </c>
      <c r="E22" s="23">
        <f>E18*E20</f>
        <v>125.10545238053572</v>
      </c>
      <c r="F22" s="23">
        <f>F18*F20</f>
        <v>469.88186450281677</v>
      </c>
      <c r="G22" s="23"/>
      <c r="H22" s="23"/>
      <c r="I22" s="23"/>
      <c r="J22" s="23">
        <f>J18*J20</f>
        <v>6.1966710445214952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959.53100648503403</v>
      </c>
      <c r="C31" s="39">
        <f>IF(ISERROR(B31*3.6/1000000/'E Balans VL '!Z19*100),0,B31*3.6/1000000/'E Balans VL '!Z19*100)</f>
        <v>4.3520331036589158E-2</v>
      </c>
      <c r="D31" s="237" t="s">
        <v>754</v>
      </c>
    </row>
    <row r="32" spans="1:18">
      <c r="A32" s="171" t="s">
        <v>41</v>
      </c>
      <c r="B32" s="37">
        <f>IF( ISERROR(IND_voed_ele_kWh/1000),0,IND_voed_ele_kWh/1000)</f>
        <v>298.88327112060904</v>
      </c>
      <c r="C32" s="39">
        <f>IF(ISERROR(B32*3.6/1000000/'E Balans VL '!Z20*100),0,B32*3.6/1000000/'E Balans VL '!Z20*100)</f>
        <v>9.245816391247939E-3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5.1885641777908003</v>
      </c>
      <c r="C34" s="39">
        <f>IF(ISERROR(B34*3.6/1000000/'E Balans VL '!Z22*100),0,B34*3.6/1000000/'E Balans VL '!Z22*100)</f>
        <v>9.3326081424659169E-4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4887.2310122964</v>
      </c>
      <c r="C37" s="39">
        <f>IF(ISERROR(B37*3.6/1000000/'E Balans VL '!Z15*100),0,B37*3.6/1000000/'E Balans VL '!Z15*100)</f>
        <v>3.8737307862959772E-2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665.42304709269138</v>
      </c>
      <c r="C5" s="17">
        <f>'Eigen informatie GS &amp; warmtenet'!B60</f>
        <v>0</v>
      </c>
      <c r="D5" s="30">
        <f>IF(ISERROR(SUM(LB_lb_gas_kWh,LB_rest_gas_kWh,onbekend_gas_kWh)/1000),0,SUM(LB_lb_gas_kWh,LB_rest_gas_kWh,onbekend_gas_kWh)/1000)*0.902</f>
        <v>659.95950913778802</v>
      </c>
      <c r="E5" s="17">
        <f>B17*'E Balans VL '!I25/3.6*1000000/100</f>
        <v>19.558815790626898</v>
      </c>
      <c r="F5" s="17">
        <f>B17*('E Balans VL '!L25/3.6*1000000+'E Balans VL '!N25/3.6*1000000)/100</f>
        <v>2772.1164566140169</v>
      </c>
      <c r="G5" s="18"/>
      <c r="H5" s="17"/>
      <c r="I5" s="17"/>
      <c r="J5" s="17">
        <f>('E Balans VL '!D25+'E Balans VL '!E25)/3.6*1000000*landbouw!B17/100</f>
        <v>96.405509400217227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665.42304709269138</v>
      </c>
      <c r="C8" s="21">
        <f>C5+C6</f>
        <v>0</v>
      </c>
      <c r="D8" s="21">
        <f>MAX((D5+D6),0)</f>
        <v>659.95950913778802</v>
      </c>
      <c r="E8" s="21">
        <f>MAX((E5+E6),0)</f>
        <v>19.558815790626898</v>
      </c>
      <c r="F8" s="21">
        <f>MAX((F5+F6),0)</f>
        <v>2772.1164566140169</v>
      </c>
      <c r="G8" s="21"/>
      <c r="H8" s="21"/>
      <c r="I8" s="21"/>
      <c r="J8" s="21">
        <f>MAX((J5+J6),0)</f>
        <v>96.405509400217227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0.19721472489214262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131.2312231692764</v>
      </c>
      <c r="C12" s="23">
        <f ca="1">C8*C10</f>
        <v>0</v>
      </c>
      <c r="D12" s="23">
        <f>D8*D10</f>
        <v>133.31182084583318</v>
      </c>
      <c r="E12" s="23">
        <f>E8*E10</f>
        <v>4.4398511844723059</v>
      </c>
      <c r="F12" s="23">
        <f>F8*F10</f>
        <v>740.15509391594253</v>
      </c>
      <c r="G12" s="23"/>
      <c r="H12" s="23"/>
      <c r="I12" s="23"/>
      <c r="J12" s="23">
        <f>J8*J10</f>
        <v>34.127550327676893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9.4425618083594773E-2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58.431712290504976</v>
      </c>
      <c r="C26" s="247">
        <f>B26*'GWP N2O_CH4'!B5</f>
        <v>1227.0659581006046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14.036148246308972</v>
      </c>
      <c r="C27" s="247">
        <f>B27*'GWP N2O_CH4'!B5</f>
        <v>294.75911317248841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1.3043004385882846</v>
      </c>
      <c r="C28" s="247">
        <f>B28*'GWP N2O_CH4'!B4</f>
        <v>404.3331359623682</v>
      </c>
      <c r="D28" s="50"/>
    </row>
    <row r="29" spans="1:4">
      <c r="A29" s="41" t="s">
        <v>277</v>
      </c>
      <c r="B29" s="247">
        <f>B34*'ha_N2O bodem landbouw'!B4</f>
        <v>3.0134953591293665</v>
      </c>
      <c r="C29" s="247">
        <f>B29*'GWP N2O_CH4'!B4</f>
        <v>934.18356133010366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6.8766925598631702E-4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4.5633424446030211E-5</v>
      </c>
      <c r="C5" s="463" t="s">
        <v>211</v>
      </c>
      <c r="D5" s="448">
        <f>SUM(D6:D11)</f>
        <v>1.5458755799963757E-4</v>
      </c>
      <c r="E5" s="448">
        <f>SUM(E6:E11)</f>
        <v>2.071026620710549E-4</v>
      </c>
      <c r="F5" s="461" t="s">
        <v>211</v>
      </c>
      <c r="G5" s="448">
        <f>SUM(G6:G11)</f>
        <v>6.5058193045562387E-2</v>
      </c>
      <c r="H5" s="448">
        <f>SUM(H6:H11)</f>
        <v>1.7453323294508837E-2</v>
      </c>
      <c r="I5" s="463" t="s">
        <v>211</v>
      </c>
      <c r="J5" s="463" t="s">
        <v>211</v>
      </c>
      <c r="K5" s="463" t="s">
        <v>211</v>
      </c>
      <c r="L5" s="463" t="s">
        <v>211</v>
      </c>
      <c r="M5" s="448">
        <f>SUM(M6:M11)</f>
        <v>4.3190400676187471E-3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3.8042760228656556E-5</v>
      </c>
      <c r="C6" s="449"/>
      <c r="D6" s="962">
        <f>vkm_2011_GW_PW*SUMIFS(TableVerdeelsleutelVkm[CNG],TableVerdeelsleutelVkm[Voertuigtype],"Lichte voertuigen")*SUMIFS(TableECFTransport[EnergieConsumptieFactor (PJ per km)],TableECFTransport[Index],CONCATENATE($A6,"_CNG_CNG"))</f>
        <v>1.141064461276914E-4</v>
      </c>
      <c r="E6" s="962">
        <f>vkm_2011_GW_PW*SUMIFS(TableVerdeelsleutelVkm[LPG],TableVerdeelsleutelVkm[Voertuigtype],"Lichte voertuigen")*SUMIFS(TableECFTransport[EnergieConsumptieFactor (PJ per km)],TableECFTransport[Index],CONCATENATE($A6,"_LPG_LPG"))</f>
        <v>1.5588579599364779E-4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4.0304920928002252E-2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1.2976025291390353E-2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2.739922535978307E-3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1.046153959604967E-2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3.1879070067204102E-6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6.1133763644454788E-4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7.5906642173736535E-6</v>
      </c>
      <c r="C8" s="449"/>
      <c r="D8" s="451">
        <f>vkm_2011_NGW_PW*SUMIFS(TableVerdeelsleutelVkm[CNG],TableVerdeelsleutelVkm[Voertuigtype],"Lichte voertuigen")*SUMIFS(TableECFTransport[EnergieConsumptieFactor (PJ per km)],TableECFTransport[Index],CONCATENATE($A8,"_CNG_CNG"))</f>
        <v>4.048111187194619E-5</v>
      </c>
      <c r="E8" s="451">
        <f>vkm_2011_NGW_PW*SUMIFS(TableVerdeelsleutelVkm[LPG],TableVerdeelsleutelVkm[Voertuigtype],"Lichte voertuigen")*SUMIFS(TableECFTransport[EnergieConsumptieFactor (PJ per km)],TableECFTransport[Index],CONCATENATE($A8,"_LPG_LPG"))</f>
        <v>5.1216866077407103E-5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1.2340453902112769E-2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4.4735503259063034E-3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8.5375468548655985E-4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1.9512786193976934E-3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5.5977020546295289E-7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1.1402520970933255E-4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12.675951235008393</v>
      </c>
      <c r="C14" s="21"/>
      <c r="D14" s="21">
        <f t="shared" ref="D14:M14" si="0">((D5)*10^9/3600)+D12</f>
        <v>42.940988333232653</v>
      </c>
      <c r="E14" s="21">
        <f t="shared" si="0"/>
        <v>57.528517241959698</v>
      </c>
      <c r="F14" s="21"/>
      <c r="G14" s="21">
        <f t="shared" si="0"/>
        <v>18071.720290433997</v>
      </c>
      <c r="H14" s="21">
        <f t="shared" si="0"/>
        <v>4848.1453595857884</v>
      </c>
      <c r="I14" s="21"/>
      <c r="J14" s="21"/>
      <c r="K14" s="21"/>
      <c r="L14" s="21"/>
      <c r="M14" s="21">
        <f t="shared" si="0"/>
        <v>1199.7333521163187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0.19721472489214262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2.4998842355583957</v>
      </c>
      <c r="C18" s="23"/>
      <c r="D18" s="23">
        <f t="shared" ref="D18:M18" si="1">D14*D16</f>
        <v>8.6740796433129965</v>
      </c>
      <c r="E18" s="23">
        <f t="shared" si="1"/>
        <v>13.058973413924852</v>
      </c>
      <c r="F18" s="23"/>
      <c r="G18" s="23">
        <f t="shared" si="1"/>
        <v>4825.1493175458772</v>
      </c>
      <c r="H18" s="23">
        <f t="shared" si="1"/>
        <v>1207.1881945368614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1.3555049106895088E-3</v>
      </c>
      <c r="H50" s="321">
        <f t="shared" si="2"/>
        <v>0</v>
      </c>
      <c r="I50" s="321">
        <f t="shared" si="2"/>
        <v>0</v>
      </c>
      <c r="J50" s="321">
        <f t="shared" si="2"/>
        <v>0</v>
      </c>
      <c r="K50" s="321">
        <f t="shared" si="2"/>
        <v>0</v>
      </c>
      <c r="L50" s="321">
        <f t="shared" si="2"/>
        <v>0</v>
      </c>
      <c r="M50" s="321">
        <f t="shared" si="2"/>
        <v>7.6986694947196209E-5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1.3555049106895088E-3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7.6986694947196209E-5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376.52914185819691</v>
      </c>
      <c r="H54" s="21">
        <f t="shared" si="3"/>
        <v>0</v>
      </c>
      <c r="I54" s="21">
        <f t="shared" si="3"/>
        <v>0</v>
      </c>
      <c r="J54" s="21">
        <f t="shared" si="3"/>
        <v>0</v>
      </c>
      <c r="K54" s="21">
        <f t="shared" si="3"/>
        <v>0</v>
      </c>
      <c r="L54" s="21">
        <f t="shared" si="3"/>
        <v>0</v>
      </c>
      <c r="M54" s="21">
        <f t="shared" si="3"/>
        <v>21.385193040887838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0.19721472489214262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100.53328087613858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3564.5743822421764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3564.5743822421764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8106.8102299320353</v>
      </c>
      <c r="D10" s="718">
        <f ca="1">tertiair!C16</f>
        <v>0</v>
      </c>
      <c r="E10" s="718">
        <f ca="1">tertiair!D16</f>
        <v>7379.1107872984321</v>
      </c>
      <c r="F10" s="718">
        <f>tertiair!E16</f>
        <v>112.97837398401182</v>
      </c>
      <c r="G10" s="718">
        <f ca="1">tertiair!F16</f>
        <v>1311.331745243019</v>
      </c>
      <c r="H10" s="718">
        <f>tertiair!G16</f>
        <v>0</v>
      </c>
      <c r="I10" s="718">
        <f>tertiair!H16</f>
        <v>0</v>
      </c>
      <c r="J10" s="718">
        <f>tertiair!I16</f>
        <v>0</v>
      </c>
      <c r="K10" s="718">
        <f>tertiair!J16</f>
        <v>2.7386466590952462E-2</v>
      </c>
      <c r="L10" s="718">
        <f>tertiair!K16</f>
        <v>0</v>
      </c>
      <c r="M10" s="718">
        <f ca="1">tertiair!L16</f>
        <v>0</v>
      </c>
      <c r="N10" s="718">
        <f>tertiair!M16</f>
        <v>0</v>
      </c>
      <c r="O10" s="718">
        <f ca="1">tertiair!N16</f>
        <v>1080.5514830240622</v>
      </c>
      <c r="P10" s="718">
        <f>tertiair!O16</f>
        <v>0</v>
      </c>
      <c r="Q10" s="719">
        <f>tertiair!P16</f>
        <v>0</v>
      </c>
      <c r="R10" s="721">
        <f ca="1">SUM(C10:Q10)</f>
        <v>17990.810005948148</v>
      </c>
      <c r="S10" s="67"/>
    </row>
    <row r="11" spans="1:19" s="474" customFormat="1">
      <c r="A11" s="870" t="s">
        <v>225</v>
      </c>
      <c r="B11" s="875"/>
      <c r="C11" s="718">
        <f>huishoudens!B8</f>
        <v>18184.367360077958</v>
      </c>
      <c r="D11" s="718">
        <f>huishoudens!C8</f>
        <v>0</v>
      </c>
      <c r="E11" s="718">
        <f>huishoudens!D8</f>
        <v>32504.973618342105</v>
      </c>
      <c r="F11" s="718">
        <f>huishoudens!E8</f>
        <v>6293.3536100433257</v>
      </c>
      <c r="G11" s="718">
        <f>huishoudens!F8</f>
        <v>22991.387366310591</v>
      </c>
      <c r="H11" s="718">
        <f>huishoudens!G8</f>
        <v>0</v>
      </c>
      <c r="I11" s="718">
        <f>huishoudens!H8</f>
        <v>0</v>
      </c>
      <c r="J11" s="718">
        <f>huishoudens!I8</f>
        <v>0</v>
      </c>
      <c r="K11" s="718">
        <f>huishoudens!J8</f>
        <v>0</v>
      </c>
      <c r="L11" s="718">
        <f>huishoudens!K8</f>
        <v>0</v>
      </c>
      <c r="M11" s="718">
        <f>huishoudens!L8</f>
        <v>0</v>
      </c>
      <c r="N11" s="718">
        <f>huishoudens!M8</f>
        <v>0</v>
      </c>
      <c r="O11" s="718">
        <f>huishoudens!N8</f>
        <v>14745.092627474496</v>
      </c>
      <c r="P11" s="718">
        <f>huishoudens!O8</f>
        <v>142.26333333333332</v>
      </c>
      <c r="Q11" s="719">
        <f>huishoudens!P8</f>
        <v>629.20000000000005</v>
      </c>
      <c r="R11" s="721">
        <f>SUM(C11:Q11)</f>
        <v>95490.637915581814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6150.8338540798341</v>
      </c>
      <c r="D13" s="718">
        <f>industrie!C18</f>
        <v>0</v>
      </c>
      <c r="E13" s="718">
        <f>industrie!D18</f>
        <v>30314.992452311697</v>
      </c>
      <c r="F13" s="718">
        <f>industrie!E18</f>
        <v>551.12534088341727</v>
      </c>
      <c r="G13" s="718">
        <f>industrie!F18</f>
        <v>1759.8571704225346</v>
      </c>
      <c r="H13" s="718">
        <f>industrie!G18</f>
        <v>0</v>
      </c>
      <c r="I13" s="718">
        <f>industrie!H18</f>
        <v>0</v>
      </c>
      <c r="J13" s="718">
        <f>industrie!I18</f>
        <v>0</v>
      </c>
      <c r="K13" s="718">
        <f>industrie!J18</f>
        <v>17.504720464749987</v>
      </c>
      <c r="L13" s="718">
        <f>industrie!K18</f>
        <v>0</v>
      </c>
      <c r="M13" s="718">
        <f>industrie!L18</f>
        <v>0</v>
      </c>
      <c r="N13" s="718">
        <f>industrie!M18</f>
        <v>0</v>
      </c>
      <c r="O13" s="718">
        <f>industrie!N18</f>
        <v>1435.0883118699576</v>
      </c>
      <c r="P13" s="718">
        <f>industrie!O18</f>
        <v>0</v>
      </c>
      <c r="Q13" s="719">
        <f>industrie!P18</f>
        <v>0</v>
      </c>
      <c r="R13" s="721">
        <f>SUM(C13:Q13)</f>
        <v>40229.401850032184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32442.011444089825</v>
      </c>
      <c r="D15" s="723">
        <f t="shared" ref="D15:Q15" ca="1" si="0">SUM(D9:D14)</f>
        <v>0</v>
      </c>
      <c r="E15" s="723">
        <f t="shared" ca="1" si="0"/>
        <v>70199.076857952226</v>
      </c>
      <c r="F15" s="723">
        <f t="shared" si="0"/>
        <v>6957.4573249107552</v>
      </c>
      <c r="G15" s="723">
        <f t="shared" ca="1" si="0"/>
        <v>26062.576281976148</v>
      </c>
      <c r="H15" s="723">
        <f t="shared" si="0"/>
        <v>0</v>
      </c>
      <c r="I15" s="723">
        <f t="shared" si="0"/>
        <v>0</v>
      </c>
      <c r="J15" s="723">
        <f t="shared" si="0"/>
        <v>0</v>
      </c>
      <c r="K15" s="723">
        <f t="shared" si="0"/>
        <v>17.532106931340941</v>
      </c>
      <c r="L15" s="723">
        <f t="shared" si="0"/>
        <v>0</v>
      </c>
      <c r="M15" s="723">
        <f t="shared" ca="1" si="0"/>
        <v>0</v>
      </c>
      <c r="N15" s="723">
        <f t="shared" si="0"/>
        <v>0</v>
      </c>
      <c r="O15" s="723">
        <f t="shared" ca="1" si="0"/>
        <v>17260.732422368517</v>
      </c>
      <c r="P15" s="723">
        <f t="shared" si="0"/>
        <v>142.26333333333332</v>
      </c>
      <c r="Q15" s="724">
        <f t="shared" si="0"/>
        <v>629.20000000000005</v>
      </c>
      <c r="R15" s="725">
        <f ca="1">SUM(R9:R14)</f>
        <v>153710.84977156215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376.52914185819691</v>
      </c>
      <c r="I18" s="718">
        <f>transport!H54</f>
        <v>0</v>
      </c>
      <c r="J18" s="718">
        <f>transport!I54</f>
        <v>0</v>
      </c>
      <c r="K18" s="718">
        <f>transport!J54</f>
        <v>0</v>
      </c>
      <c r="L18" s="718">
        <f>transport!K54</f>
        <v>0</v>
      </c>
      <c r="M18" s="718">
        <f>transport!L54</f>
        <v>0</v>
      </c>
      <c r="N18" s="718">
        <f>transport!M54</f>
        <v>21.385193040887838</v>
      </c>
      <c r="O18" s="718">
        <f>transport!N54</f>
        <v>0</v>
      </c>
      <c r="P18" s="718">
        <f>transport!O54</f>
        <v>0</v>
      </c>
      <c r="Q18" s="719">
        <f>transport!P54</f>
        <v>0</v>
      </c>
      <c r="R18" s="721">
        <f>SUM(C18:Q18)</f>
        <v>397.91433489908474</v>
      </c>
      <c r="S18" s="67"/>
    </row>
    <row r="19" spans="1:19" s="474" customFormat="1" ht="15" thickBot="1">
      <c r="A19" s="870" t="s">
        <v>307</v>
      </c>
      <c r="B19" s="875"/>
      <c r="C19" s="727">
        <f>transport!B14</f>
        <v>12.675951235008393</v>
      </c>
      <c r="D19" s="727">
        <f>transport!C14</f>
        <v>0</v>
      </c>
      <c r="E19" s="727">
        <f>transport!D14</f>
        <v>42.940988333232653</v>
      </c>
      <c r="F19" s="727">
        <f>transport!E14</f>
        <v>57.528517241959698</v>
      </c>
      <c r="G19" s="727">
        <f>transport!F14</f>
        <v>0</v>
      </c>
      <c r="H19" s="727">
        <f>transport!G14</f>
        <v>18071.720290433997</v>
      </c>
      <c r="I19" s="727">
        <f>transport!H14</f>
        <v>4848.1453595857884</v>
      </c>
      <c r="J19" s="727">
        <f>transport!I14</f>
        <v>0</v>
      </c>
      <c r="K19" s="727">
        <f>transport!J14</f>
        <v>0</v>
      </c>
      <c r="L19" s="727">
        <f>transport!K14</f>
        <v>0</v>
      </c>
      <c r="M19" s="727">
        <f>transport!L14</f>
        <v>0</v>
      </c>
      <c r="N19" s="727">
        <f>transport!M14</f>
        <v>1199.7333521163187</v>
      </c>
      <c r="O19" s="727">
        <f>transport!N14</f>
        <v>0</v>
      </c>
      <c r="P19" s="727">
        <f>transport!O14</f>
        <v>0</v>
      </c>
      <c r="Q19" s="728">
        <f>transport!P14</f>
        <v>0</v>
      </c>
      <c r="R19" s="729">
        <f>SUM(C19:Q19)</f>
        <v>24232.744458946308</v>
      </c>
      <c r="S19" s="67"/>
    </row>
    <row r="20" spans="1:19" s="474" customFormat="1" ht="15.75" thickBot="1">
      <c r="A20" s="730" t="s">
        <v>230</v>
      </c>
      <c r="B20" s="878"/>
      <c r="C20" s="873">
        <f>SUM(C17:C19)</f>
        <v>12.675951235008393</v>
      </c>
      <c r="D20" s="731">
        <f t="shared" ref="D20:R20" si="1">SUM(D17:D19)</f>
        <v>0</v>
      </c>
      <c r="E20" s="731">
        <f t="shared" si="1"/>
        <v>42.940988333232653</v>
      </c>
      <c r="F20" s="731">
        <f t="shared" si="1"/>
        <v>57.528517241959698</v>
      </c>
      <c r="G20" s="731">
        <f t="shared" si="1"/>
        <v>0</v>
      </c>
      <c r="H20" s="731">
        <f t="shared" si="1"/>
        <v>18448.249432292196</v>
      </c>
      <c r="I20" s="731">
        <f t="shared" si="1"/>
        <v>4848.1453595857884</v>
      </c>
      <c r="J20" s="731">
        <f t="shared" si="1"/>
        <v>0</v>
      </c>
      <c r="K20" s="731">
        <f t="shared" si="1"/>
        <v>0</v>
      </c>
      <c r="L20" s="731">
        <f t="shared" si="1"/>
        <v>0</v>
      </c>
      <c r="M20" s="731">
        <f t="shared" si="1"/>
        <v>0</v>
      </c>
      <c r="N20" s="731">
        <f t="shared" si="1"/>
        <v>1221.1185451572064</v>
      </c>
      <c r="O20" s="731">
        <f t="shared" si="1"/>
        <v>0</v>
      </c>
      <c r="P20" s="731">
        <f t="shared" si="1"/>
        <v>0</v>
      </c>
      <c r="Q20" s="732">
        <f t="shared" si="1"/>
        <v>0</v>
      </c>
      <c r="R20" s="733">
        <f t="shared" si="1"/>
        <v>24630.658793845392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665.42304709269138</v>
      </c>
      <c r="D22" s="727">
        <f>+landbouw!C8</f>
        <v>0</v>
      </c>
      <c r="E22" s="727">
        <f>+landbouw!D8</f>
        <v>659.95950913778802</v>
      </c>
      <c r="F22" s="727">
        <f>+landbouw!E8</f>
        <v>19.558815790626898</v>
      </c>
      <c r="G22" s="727">
        <f>+landbouw!F8</f>
        <v>2772.1164566140169</v>
      </c>
      <c r="H22" s="727">
        <f>+landbouw!G8</f>
        <v>0</v>
      </c>
      <c r="I22" s="727">
        <f>+landbouw!H8</f>
        <v>0</v>
      </c>
      <c r="J22" s="727">
        <f>+landbouw!I8</f>
        <v>0</v>
      </c>
      <c r="K22" s="727">
        <f>+landbouw!J8</f>
        <v>96.405509400217227</v>
      </c>
      <c r="L22" s="727">
        <f>+landbouw!K8</f>
        <v>0</v>
      </c>
      <c r="M22" s="727">
        <f>+landbouw!L8</f>
        <v>0</v>
      </c>
      <c r="N22" s="727">
        <f>+landbouw!M8</f>
        <v>0</v>
      </c>
      <c r="O22" s="727">
        <f>+landbouw!N8</f>
        <v>0</v>
      </c>
      <c r="P22" s="727">
        <f>+landbouw!O8</f>
        <v>0</v>
      </c>
      <c r="Q22" s="728">
        <f>+landbouw!P8</f>
        <v>0</v>
      </c>
      <c r="R22" s="729">
        <f>SUM(C22:Q22)</f>
        <v>4213.4633380353398</v>
      </c>
      <c r="S22" s="67"/>
    </row>
    <row r="23" spans="1:19" s="474" customFormat="1" ht="17.25" thickTop="1" thickBot="1">
      <c r="A23" s="734" t="s">
        <v>116</v>
      </c>
      <c r="B23" s="864"/>
      <c r="C23" s="735">
        <f ca="1">C20+C15+C22</f>
        <v>33120.110442417521</v>
      </c>
      <c r="D23" s="735">
        <f t="shared" ref="D23:Q23" ca="1" si="2">D20+D15+D22</f>
        <v>0</v>
      </c>
      <c r="E23" s="735">
        <f t="shared" ca="1" si="2"/>
        <v>70901.977355423238</v>
      </c>
      <c r="F23" s="735">
        <f t="shared" si="2"/>
        <v>7034.5446579433419</v>
      </c>
      <c r="G23" s="735">
        <f t="shared" ca="1" si="2"/>
        <v>28834.692738590165</v>
      </c>
      <c r="H23" s="735">
        <f t="shared" si="2"/>
        <v>18448.249432292196</v>
      </c>
      <c r="I23" s="735">
        <f t="shared" si="2"/>
        <v>4848.1453595857884</v>
      </c>
      <c r="J23" s="735">
        <f t="shared" si="2"/>
        <v>0</v>
      </c>
      <c r="K23" s="735">
        <f t="shared" si="2"/>
        <v>113.93761633155816</v>
      </c>
      <c r="L23" s="735">
        <f t="shared" si="2"/>
        <v>0</v>
      </c>
      <c r="M23" s="735">
        <f t="shared" ca="1" si="2"/>
        <v>0</v>
      </c>
      <c r="N23" s="735">
        <f t="shared" si="2"/>
        <v>1221.1185451572064</v>
      </c>
      <c r="O23" s="735">
        <f t="shared" ca="1" si="2"/>
        <v>17260.732422368517</v>
      </c>
      <c r="P23" s="735">
        <f t="shared" si="2"/>
        <v>142.26333333333332</v>
      </c>
      <c r="Q23" s="736">
        <f t="shared" si="2"/>
        <v>629.20000000000005</v>
      </c>
      <c r="R23" s="737">
        <f ca="1">R20+R15+R22</f>
        <v>182554.97190344287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1598.7823492488537</v>
      </c>
      <c r="D36" s="718">
        <f ca="1">tertiair!C20</f>
        <v>0</v>
      </c>
      <c r="E36" s="718">
        <f ca="1">tertiair!D20</f>
        <v>1490.5803790342834</v>
      </c>
      <c r="F36" s="718">
        <f>tertiair!E20</f>
        <v>25.646090894370683</v>
      </c>
      <c r="G36" s="718">
        <f ca="1">tertiair!F20</f>
        <v>350.12557597988609</v>
      </c>
      <c r="H36" s="718">
        <f>tertiair!G20</f>
        <v>0</v>
      </c>
      <c r="I36" s="718">
        <f>tertiair!H20</f>
        <v>0</v>
      </c>
      <c r="J36" s="718">
        <f>tertiair!I20</f>
        <v>0</v>
      </c>
      <c r="K36" s="718">
        <f>tertiair!J20</f>
        <v>9.6948091731971706E-3</v>
      </c>
      <c r="L36" s="718">
        <f>tertiair!K20</f>
        <v>0</v>
      </c>
      <c r="M36" s="718">
        <f ca="1">tertiair!L20</f>
        <v>0</v>
      </c>
      <c r="N36" s="718">
        <f>tertiair!M20</f>
        <v>0</v>
      </c>
      <c r="O36" s="718">
        <f ca="1">tertiair!N20</f>
        <v>0</v>
      </c>
      <c r="P36" s="718">
        <f>tertiair!O20</f>
        <v>0</v>
      </c>
      <c r="Q36" s="828">
        <f>tertiair!P20</f>
        <v>0</v>
      </c>
      <c r="R36" s="917">
        <f ca="1">SUM(C36:Q36)</f>
        <v>3465.1440899665672</v>
      </c>
    </row>
    <row r="37" spans="1:18">
      <c r="A37" s="885" t="s">
        <v>225</v>
      </c>
      <c r="B37" s="892"/>
      <c r="C37" s="718">
        <f ca="1">huishoudens!B12</f>
        <v>3586.2250062554322</v>
      </c>
      <c r="D37" s="718">
        <f ca="1">huishoudens!C12</f>
        <v>0</v>
      </c>
      <c r="E37" s="718">
        <f>huishoudens!D12</f>
        <v>6566.0046709051057</v>
      </c>
      <c r="F37" s="718">
        <f>huishoudens!E12</f>
        <v>1428.5912694798351</v>
      </c>
      <c r="G37" s="718">
        <f>huishoudens!F12</f>
        <v>6138.7004268049286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17719.521373445303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1213.0350063896317</v>
      </c>
      <c r="D39" s="718">
        <f ca="1">industrie!C22</f>
        <v>0</v>
      </c>
      <c r="E39" s="718">
        <f>industrie!D22</f>
        <v>6123.6284753669634</v>
      </c>
      <c r="F39" s="718">
        <f>industrie!E22</f>
        <v>125.10545238053572</v>
      </c>
      <c r="G39" s="718">
        <f>industrie!F22</f>
        <v>469.88186450281677</v>
      </c>
      <c r="H39" s="718">
        <f>industrie!G22</f>
        <v>0</v>
      </c>
      <c r="I39" s="718">
        <f>industrie!H22</f>
        <v>0</v>
      </c>
      <c r="J39" s="718">
        <f>industrie!I22</f>
        <v>0</v>
      </c>
      <c r="K39" s="718">
        <f>industrie!J22</f>
        <v>6.1966710445214952</v>
      </c>
      <c r="L39" s="718">
        <f>industrie!K22</f>
        <v>0</v>
      </c>
      <c r="M39" s="718">
        <f>industrie!L22</f>
        <v>0</v>
      </c>
      <c r="N39" s="718">
        <f>industrie!M22</f>
        <v>0</v>
      </c>
      <c r="O39" s="718">
        <f>industrie!N22</f>
        <v>0</v>
      </c>
      <c r="P39" s="718">
        <f>industrie!O22</f>
        <v>0</v>
      </c>
      <c r="Q39" s="828">
        <f>industrie!P22</f>
        <v>0</v>
      </c>
      <c r="R39" s="918">
        <f ca="1">SUM(C39:Q39)</f>
        <v>7937.8474696844696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6398.0423618939167</v>
      </c>
      <c r="D41" s="763">
        <f t="shared" ref="D41:R41" ca="1" si="4">SUM(D35:D40)</f>
        <v>0</v>
      </c>
      <c r="E41" s="763">
        <f t="shared" ca="1" si="4"/>
        <v>14180.213525306353</v>
      </c>
      <c r="F41" s="763">
        <f t="shared" si="4"/>
        <v>1579.3428127547415</v>
      </c>
      <c r="G41" s="763">
        <f t="shared" ca="1" si="4"/>
        <v>6958.7078672876314</v>
      </c>
      <c r="H41" s="763">
        <f t="shared" si="4"/>
        <v>0</v>
      </c>
      <c r="I41" s="763">
        <f t="shared" si="4"/>
        <v>0</v>
      </c>
      <c r="J41" s="763">
        <f t="shared" si="4"/>
        <v>0</v>
      </c>
      <c r="K41" s="763">
        <f t="shared" si="4"/>
        <v>6.2063658536946926</v>
      </c>
      <c r="L41" s="763">
        <f t="shared" si="4"/>
        <v>0</v>
      </c>
      <c r="M41" s="763">
        <f t="shared" ca="1" si="4"/>
        <v>0</v>
      </c>
      <c r="N41" s="763">
        <f t="shared" si="4"/>
        <v>0</v>
      </c>
      <c r="O41" s="763">
        <f t="shared" ca="1" si="4"/>
        <v>0</v>
      </c>
      <c r="P41" s="763">
        <f t="shared" si="4"/>
        <v>0</v>
      </c>
      <c r="Q41" s="764">
        <f t="shared" si="4"/>
        <v>0</v>
      </c>
      <c r="R41" s="765">
        <f t="shared" ca="1" si="4"/>
        <v>29122.512933096339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100.53328087613858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100.53328087613858</v>
      </c>
    </row>
    <row r="45" spans="1:18" ht="15" thickBot="1">
      <c r="A45" s="888" t="s">
        <v>307</v>
      </c>
      <c r="B45" s="898"/>
      <c r="C45" s="727">
        <f ca="1">transport!B18</f>
        <v>2.4998842355583957</v>
      </c>
      <c r="D45" s="727">
        <f>transport!C18</f>
        <v>0</v>
      </c>
      <c r="E45" s="727">
        <f>transport!D18</f>
        <v>8.6740796433129965</v>
      </c>
      <c r="F45" s="727">
        <f>transport!E18</f>
        <v>13.058973413924852</v>
      </c>
      <c r="G45" s="727">
        <f>transport!F18</f>
        <v>0</v>
      </c>
      <c r="H45" s="727">
        <f>transport!G18</f>
        <v>4825.1493175458772</v>
      </c>
      <c r="I45" s="727">
        <f>transport!H18</f>
        <v>1207.1881945368614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6056.5704493755347</v>
      </c>
    </row>
    <row r="46" spans="1:18" ht="15.75" thickBot="1">
      <c r="A46" s="886" t="s">
        <v>230</v>
      </c>
      <c r="B46" s="899"/>
      <c r="C46" s="763">
        <f t="shared" ref="C46:R46" ca="1" si="5">SUM(C43:C45)</f>
        <v>2.4998842355583957</v>
      </c>
      <c r="D46" s="763">
        <f t="shared" ca="1" si="5"/>
        <v>0</v>
      </c>
      <c r="E46" s="763">
        <f t="shared" si="5"/>
        <v>8.6740796433129965</v>
      </c>
      <c r="F46" s="763">
        <f t="shared" si="5"/>
        <v>13.058973413924852</v>
      </c>
      <c r="G46" s="763">
        <f t="shared" si="5"/>
        <v>0</v>
      </c>
      <c r="H46" s="763">
        <f t="shared" si="5"/>
        <v>4925.6825984220159</v>
      </c>
      <c r="I46" s="763">
        <f t="shared" si="5"/>
        <v>1207.1881945368614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6157.1037302516734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131.2312231692764</v>
      </c>
      <c r="D48" s="718">
        <f ca="1">+landbouw!C12</f>
        <v>0</v>
      </c>
      <c r="E48" s="718">
        <f>+landbouw!D12</f>
        <v>133.31182084583318</v>
      </c>
      <c r="F48" s="718">
        <f>+landbouw!E12</f>
        <v>4.4398511844723059</v>
      </c>
      <c r="G48" s="718">
        <f>+landbouw!F12</f>
        <v>740.15509391594253</v>
      </c>
      <c r="H48" s="718">
        <f>+landbouw!G12</f>
        <v>0</v>
      </c>
      <c r="I48" s="718">
        <f>+landbouw!H12</f>
        <v>0</v>
      </c>
      <c r="J48" s="718">
        <f>+landbouw!I12</f>
        <v>0</v>
      </c>
      <c r="K48" s="718">
        <f>+landbouw!J12</f>
        <v>34.127550327676893</v>
      </c>
      <c r="L48" s="718">
        <f>+landbouw!K12</f>
        <v>0</v>
      </c>
      <c r="M48" s="718">
        <f>+landbouw!L12</f>
        <v>0</v>
      </c>
      <c r="N48" s="718">
        <f>+landbouw!M12</f>
        <v>0</v>
      </c>
      <c r="O48" s="718">
        <f>+landbouw!N12</f>
        <v>0</v>
      </c>
      <c r="P48" s="718">
        <f>+landbouw!O12</f>
        <v>0</v>
      </c>
      <c r="Q48" s="719">
        <f>+landbouw!P12</f>
        <v>0</v>
      </c>
      <c r="R48" s="761">
        <f ca="1">SUM(C48:Q48)</f>
        <v>1043.2655394432013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6531.7734692987515</v>
      </c>
      <c r="D53" s="773">
        <f t="shared" ref="D53:Q53" ca="1" si="6">D41+D46+D48</f>
        <v>0</v>
      </c>
      <c r="E53" s="773">
        <f t="shared" ca="1" si="6"/>
        <v>14322.199425795499</v>
      </c>
      <c r="F53" s="773">
        <f t="shared" si="6"/>
        <v>1596.8416373531386</v>
      </c>
      <c r="G53" s="773">
        <f t="shared" ca="1" si="6"/>
        <v>7698.8629612035738</v>
      </c>
      <c r="H53" s="773">
        <f t="shared" si="6"/>
        <v>4925.6825984220159</v>
      </c>
      <c r="I53" s="773">
        <f t="shared" si="6"/>
        <v>1207.1881945368614</v>
      </c>
      <c r="J53" s="773">
        <f t="shared" si="6"/>
        <v>0</v>
      </c>
      <c r="K53" s="773">
        <f t="shared" si="6"/>
        <v>40.333916181371585</v>
      </c>
      <c r="L53" s="773">
        <f t="shared" si="6"/>
        <v>0</v>
      </c>
      <c r="M53" s="773">
        <f t="shared" ca="1" si="6"/>
        <v>0</v>
      </c>
      <c r="N53" s="773">
        <f t="shared" si="6"/>
        <v>0</v>
      </c>
      <c r="O53" s="773">
        <f t="shared" ca="1" si="6"/>
        <v>0</v>
      </c>
      <c r="P53" s="773">
        <f>P41+P46+P48</f>
        <v>0</v>
      </c>
      <c r="Q53" s="774">
        <f t="shared" si="6"/>
        <v>0</v>
      </c>
      <c r="R53" s="775">
        <f ca="1">R41+R46+R48</f>
        <v>36322.88220279121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0.19721472489214262</v>
      </c>
      <c r="D55" s="836">
        <f t="shared" ca="1" si="7"/>
        <v>0</v>
      </c>
      <c r="E55" s="836">
        <f t="shared" ca="1" si="7"/>
        <v>0.20200000000000007</v>
      </c>
      <c r="F55" s="836">
        <f t="shared" si="7"/>
        <v>0.22700000000000001</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3564.5743822421764</v>
      </c>
      <c r="C66" s="795">
        <f>'lokale energieproductie'!B6</f>
        <v>3564.5743822421764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3564.5743822421764</v>
      </c>
      <c r="C69" s="803">
        <f>SUM(C64:C68)</f>
        <v>3564.5743822421764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18184.367360077958</v>
      </c>
      <c r="C4" s="478">
        <f>huishoudens!C8</f>
        <v>0</v>
      </c>
      <c r="D4" s="478">
        <f>huishoudens!D8</f>
        <v>32504.973618342105</v>
      </c>
      <c r="E4" s="478">
        <f>huishoudens!E8</f>
        <v>6293.3536100433257</v>
      </c>
      <c r="F4" s="478">
        <f>huishoudens!F8</f>
        <v>22991.387366310591</v>
      </c>
      <c r="G4" s="478">
        <f>huishoudens!G8</f>
        <v>0</v>
      </c>
      <c r="H4" s="478">
        <f>huishoudens!H8</f>
        <v>0</v>
      </c>
      <c r="I4" s="478">
        <f>huishoudens!I8</f>
        <v>0</v>
      </c>
      <c r="J4" s="478">
        <f>huishoudens!J8</f>
        <v>0</v>
      </c>
      <c r="K4" s="478">
        <f>huishoudens!K8</f>
        <v>0</v>
      </c>
      <c r="L4" s="478">
        <f>huishoudens!L8</f>
        <v>0</v>
      </c>
      <c r="M4" s="478">
        <f>huishoudens!M8</f>
        <v>0</v>
      </c>
      <c r="N4" s="478">
        <f>huishoudens!N8</f>
        <v>14745.092627474496</v>
      </c>
      <c r="O4" s="478">
        <f>huishoudens!O8</f>
        <v>142.26333333333332</v>
      </c>
      <c r="P4" s="479">
        <f>huishoudens!P8</f>
        <v>629.20000000000005</v>
      </c>
      <c r="Q4" s="480">
        <f>SUM(B4:P4)</f>
        <v>95490.637915581814</v>
      </c>
    </row>
    <row r="5" spans="1:17">
      <c r="A5" s="477" t="s">
        <v>156</v>
      </c>
      <c r="B5" s="478">
        <f ca="1">tertiair!B16</f>
        <v>7293.3262299320349</v>
      </c>
      <c r="C5" s="478">
        <f ca="1">tertiair!C16</f>
        <v>0</v>
      </c>
      <c r="D5" s="478">
        <f ca="1">tertiair!D16</f>
        <v>7379.1107872984321</v>
      </c>
      <c r="E5" s="478">
        <f>tertiair!E16</f>
        <v>112.97837398401182</v>
      </c>
      <c r="F5" s="478">
        <f ca="1">tertiair!F16</f>
        <v>1311.331745243019</v>
      </c>
      <c r="G5" s="478">
        <f>tertiair!G16</f>
        <v>0</v>
      </c>
      <c r="H5" s="478">
        <f>tertiair!H16</f>
        <v>0</v>
      </c>
      <c r="I5" s="478">
        <f>tertiair!I16</f>
        <v>0</v>
      </c>
      <c r="J5" s="478">
        <f>tertiair!J16</f>
        <v>2.7386466590952462E-2</v>
      </c>
      <c r="K5" s="478">
        <f>tertiair!K16</f>
        <v>0</v>
      </c>
      <c r="L5" s="478">
        <f ca="1">tertiair!L16</f>
        <v>0</v>
      </c>
      <c r="M5" s="478">
        <f>tertiair!M16</f>
        <v>0</v>
      </c>
      <c r="N5" s="478">
        <f ca="1">tertiair!N16</f>
        <v>1080.5514830240622</v>
      </c>
      <c r="O5" s="478">
        <f>tertiair!O16</f>
        <v>0</v>
      </c>
      <c r="P5" s="479">
        <f>tertiair!P16</f>
        <v>0</v>
      </c>
      <c r="Q5" s="477">
        <f t="shared" ref="Q5:Q13" ca="1" si="0">SUM(B5:P5)</f>
        <v>17177.326005948147</v>
      </c>
    </row>
    <row r="6" spans="1:17">
      <c r="A6" s="477" t="s">
        <v>194</v>
      </c>
      <c r="B6" s="478">
        <f>'openbare verlichting'!B8</f>
        <v>813.48400000000004</v>
      </c>
      <c r="C6" s="478"/>
      <c r="D6" s="478"/>
      <c r="E6" s="478"/>
      <c r="F6" s="478"/>
      <c r="G6" s="478"/>
      <c r="H6" s="478"/>
      <c r="I6" s="478"/>
      <c r="J6" s="478"/>
      <c r="K6" s="478"/>
      <c r="L6" s="478"/>
      <c r="M6" s="478"/>
      <c r="N6" s="478"/>
      <c r="O6" s="478"/>
      <c r="P6" s="479"/>
      <c r="Q6" s="477">
        <f t="shared" si="0"/>
        <v>813.48400000000004</v>
      </c>
    </row>
    <row r="7" spans="1:17">
      <c r="A7" s="477" t="s">
        <v>112</v>
      </c>
      <c r="B7" s="478">
        <f>landbouw!B8</f>
        <v>665.42304709269138</v>
      </c>
      <c r="C7" s="478">
        <f>landbouw!C8</f>
        <v>0</v>
      </c>
      <c r="D7" s="478">
        <f>landbouw!D8</f>
        <v>659.95950913778802</v>
      </c>
      <c r="E7" s="478">
        <f>landbouw!E8</f>
        <v>19.558815790626898</v>
      </c>
      <c r="F7" s="478">
        <f>landbouw!F8</f>
        <v>2772.1164566140169</v>
      </c>
      <c r="G7" s="478">
        <f>landbouw!G8</f>
        <v>0</v>
      </c>
      <c r="H7" s="478">
        <f>landbouw!H8</f>
        <v>0</v>
      </c>
      <c r="I7" s="478">
        <f>landbouw!I8</f>
        <v>0</v>
      </c>
      <c r="J7" s="478">
        <f>landbouw!J8</f>
        <v>96.405509400217227</v>
      </c>
      <c r="K7" s="478">
        <f>landbouw!K8</f>
        <v>0</v>
      </c>
      <c r="L7" s="478">
        <f>landbouw!L8</f>
        <v>0</v>
      </c>
      <c r="M7" s="478">
        <f>landbouw!M8</f>
        <v>0</v>
      </c>
      <c r="N7" s="478">
        <f>landbouw!N8</f>
        <v>0</v>
      </c>
      <c r="O7" s="478">
        <f>landbouw!O8</f>
        <v>0</v>
      </c>
      <c r="P7" s="479">
        <f>landbouw!P8</f>
        <v>0</v>
      </c>
      <c r="Q7" s="477">
        <f t="shared" si="0"/>
        <v>4213.4633380353398</v>
      </c>
    </row>
    <row r="8" spans="1:17">
      <c r="A8" s="477" t="s">
        <v>635</v>
      </c>
      <c r="B8" s="478">
        <f>industrie!B18</f>
        <v>6150.8338540798341</v>
      </c>
      <c r="C8" s="478">
        <f>industrie!C18</f>
        <v>0</v>
      </c>
      <c r="D8" s="478">
        <f>industrie!D18</f>
        <v>30314.992452311697</v>
      </c>
      <c r="E8" s="478">
        <f>industrie!E18</f>
        <v>551.12534088341727</v>
      </c>
      <c r="F8" s="478">
        <f>industrie!F18</f>
        <v>1759.8571704225346</v>
      </c>
      <c r="G8" s="478">
        <f>industrie!G18</f>
        <v>0</v>
      </c>
      <c r="H8" s="478">
        <f>industrie!H18</f>
        <v>0</v>
      </c>
      <c r="I8" s="478">
        <f>industrie!I18</f>
        <v>0</v>
      </c>
      <c r="J8" s="478">
        <f>industrie!J18</f>
        <v>17.504720464749987</v>
      </c>
      <c r="K8" s="478">
        <f>industrie!K18</f>
        <v>0</v>
      </c>
      <c r="L8" s="478">
        <f>industrie!L18</f>
        <v>0</v>
      </c>
      <c r="M8" s="478">
        <f>industrie!M18</f>
        <v>0</v>
      </c>
      <c r="N8" s="478">
        <f>industrie!N18</f>
        <v>1435.0883118699576</v>
      </c>
      <c r="O8" s="478">
        <f>industrie!O18</f>
        <v>0</v>
      </c>
      <c r="P8" s="479">
        <f>industrie!P18</f>
        <v>0</v>
      </c>
      <c r="Q8" s="477">
        <f t="shared" si="0"/>
        <v>40229.401850032184</v>
      </c>
    </row>
    <row r="9" spans="1:17" s="483" customFormat="1">
      <c r="A9" s="481" t="s">
        <v>561</v>
      </c>
      <c r="B9" s="482">
        <f>transport!B14</f>
        <v>12.675951235008393</v>
      </c>
      <c r="C9" s="482">
        <f>transport!C14</f>
        <v>0</v>
      </c>
      <c r="D9" s="482">
        <f>transport!D14</f>
        <v>42.940988333232653</v>
      </c>
      <c r="E9" s="482">
        <f>transport!E14</f>
        <v>57.528517241959698</v>
      </c>
      <c r="F9" s="482">
        <f>transport!F14</f>
        <v>0</v>
      </c>
      <c r="G9" s="482">
        <f>transport!G14</f>
        <v>18071.720290433997</v>
      </c>
      <c r="H9" s="482">
        <f>transport!H14</f>
        <v>4848.1453595857884</v>
      </c>
      <c r="I9" s="482">
        <f>transport!I14</f>
        <v>0</v>
      </c>
      <c r="J9" s="482">
        <f>transport!J14</f>
        <v>0</v>
      </c>
      <c r="K9" s="482">
        <f>transport!K14</f>
        <v>0</v>
      </c>
      <c r="L9" s="482">
        <f>transport!L14</f>
        <v>0</v>
      </c>
      <c r="M9" s="482">
        <f>transport!M14</f>
        <v>1199.7333521163187</v>
      </c>
      <c r="N9" s="482">
        <f>transport!N14</f>
        <v>0</v>
      </c>
      <c r="O9" s="482">
        <f>transport!O14</f>
        <v>0</v>
      </c>
      <c r="P9" s="482">
        <f>transport!P14</f>
        <v>0</v>
      </c>
      <c r="Q9" s="481">
        <f>SUM(B9:P9)</f>
        <v>24232.744458946308</v>
      </c>
    </row>
    <row r="10" spans="1:17">
      <c r="A10" s="477" t="s">
        <v>551</v>
      </c>
      <c r="B10" s="478">
        <f>transport!B54</f>
        <v>0</v>
      </c>
      <c r="C10" s="478">
        <f>transport!C54</f>
        <v>0</v>
      </c>
      <c r="D10" s="478">
        <f>transport!D54</f>
        <v>0</v>
      </c>
      <c r="E10" s="478">
        <f>transport!E54</f>
        <v>0</v>
      </c>
      <c r="F10" s="478">
        <f>transport!F54</f>
        <v>0</v>
      </c>
      <c r="G10" s="478">
        <f>transport!G54</f>
        <v>376.52914185819691</v>
      </c>
      <c r="H10" s="478">
        <f>transport!H54</f>
        <v>0</v>
      </c>
      <c r="I10" s="478">
        <f>transport!I54</f>
        <v>0</v>
      </c>
      <c r="J10" s="478">
        <f>transport!J54</f>
        <v>0</v>
      </c>
      <c r="K10" s="478">
        <f>transport!K54</f>
        <v>0</v>
      </c>
      <c r="L10" s="478">
        <f>transport!L54</f>
        <v>0</v>
      </c>
      <c r="M10" s="478">
        <f>transport!M54</f>
        <v>21.385193040887838</v>
      </c>
      <c r="N10" s="478">
        <f>transport!N54</f>
        <v>0</v>
      </c>
      <c r="O10" s="478">
        <f>transport!O54</f>
        <v>0</v>
      </c>
      <c r="P10" s="479">
        <f>transport!P54</f>
        <v>0</v>
      </c>
      <c r="Q10" s="477">
        <f t="shared" si="0"/>
        <v>397.91433489908474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33120.110442417528</v>
      </c>
      <c r="C14" s="488">
        <f t="shared" ref="C14:Q14" ca="1" si="1">SUM(C4:C13)</f>
        <v>0</v>
      </c>
      <c r="D14" s="488">
        <f t="shared" ca="1" si="1"/>
        <v>70901.977355423238</v>
      </c>
      <c r="E14" s="488">
        <f t="shared" si="1"/>
        <v>7034.5446579433419</v>
      </c>
      <c r="F14" s="488">
        <f t="shared" ca="1" si="1"/>
        <v>28834.692738590165</v>
      </c>
      <c r="G14" s="488">
        <f t="shared" si="1"/>
        <v>18448.249432292196</v>
      </c>
      <c r="H14" s="488">
        <f t="shared" si="1"/>
        <v>4848.1453595857884</v>
      </c>
      <c r="I14" s="488">
        <f t="shared" si="1"/>
        <v>0</v>
      </c>
      <c r="J14" s="488">
        <f t="shared" si="1"/>
        <v>113.93761633155816</v>
      </c>
      <c r="K14" s="488">
        <f t="shared" si="1"/>
        <v>0</v>
      </c>
      <c r="L14" s="488">
        <f t="shared" ca="1" si="1"/>
        <v>0</v>
      </c>
      <c r="M14" s="488">
        <f t="shared" si="1"/>
        <v>1221.1185451572064</v>
      </c>
      <c r="N14" s="488">
        <f t="shared" ca="1" si="1"/>
        <v>17260.732422368517</v>
      </c>
      <c r="O14" s="488">
        <f t="shared" si="1"/>
        <v>142.26333333333332</v>
      </c>
      <c r="P14" s="489">
        <f t="shared" si="1"/>
        <v>629.20000000000005</v>
      </c>
      <c r="Q14" s="489">
        <f t="shared" ca="1" si="1"/>
        <v>182554.97190344287</v>
      </c>
    </row>
    <row r="16" spans="1:17">
      <c r="A16" s="491" t="s">
        <v>556</v>
      </c>
      <c r="B16" s="841">
        <f ca="1">huishoudens!B10</f>
        <v>0.19721472489214262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3586.2250062554322</v>
      </c>
      <c r="C21" s="478">
        <f t="shared" ref="C21:C30" ca="1" si="3">C4*$C$16</f>
        <v>0</v>
      </c>
      <c r="D21" s="478">
        <f t="shared" ref="D21:D30" si="4">D4*$D$16</f>
        <v>6566.0046709051057</v>
      </c>
      <c r="E21" s="478">
        <f t="shared" ref="E21:E30" si="5">E4*$E$16</f>
        <v>1428.5912694798351</v>
      </c>
      <c r="F21" s="478">
        <f t="shared" ref="F21:F30" si="6">F4*$F$16</f>
        <v>6138.7004268049286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17719.521373445303</v>
      </c>
    </row>
    <row r="22" spans="1:17">
      <c r="A22" s="477" t="s">
        <v>156</v>
      </c>
      <c r="B22" s="478">
        <f t="shared" ca="1" si="2"/>
        <v>1438.3513259846939</v>
      </c>
      <c r="C22" s="478">
        <f t="shared" ca="1" si="3"/>
        <v>0</v>
      </c>
      <c r="D22" s="478">
        <f t="shared" ca="1" si="4"/>
        <v>1490.5803790342834</v>
      </c>
      <c r="E22" s="478">
        <f t="shared" si="5"/>
        <v>25.646090894370683</v>
      </c>
      <c r="F22" s="478">
        <f t="shared" ca="1" si="6"/>
        <v>350.12557597988609</v>
      </c>
      <c r="G22" s="478">
        <f t="shared" si="7"/>
        <v>0</v>
      </c>
      <c r="H22" s="478">
        <f t="shared" si="8"/>
        <v>0</v>
      </c>
      <c r="I22" s="478">
        <f t="shared" si="9"/>
        <v>0</v>
      </c>
      <c r="J22" s="478">
        <f t="shared" si="10"/>
        <v>9.6948091731971706E-3</v>
      </c>
      <c r="K22" s="478">
        <f t="shared" si="11"/>
        <v>0</v>
      </c>
      <c r="L22" s="478">
        <f t="shared" ca="1" si="12"/>
        <v>0</v>
      </c>
      <c r="M22" s="478">
        <f t="shared" si="13"/>
        <v>0</v>
      </c>
      <c r="N22" s="478">
        <f t="shared" ca="1" si="14"/>
        <v>0</v>
      </c>
      <c r="O22" s="478">
        <f t="shared" si="15"/>
        <v>0</v>
      </c>
      <c r="P22" s="479">
        <f t="shared" si="16"/>
        <v>0</v>
      </c>
      <c r="Q22" s="477">
        <f t="shared" ref="Q22:Q30" ca="1" si="17">SUM(B22:P22)</f>
        <v>3304.7130667024076</v>
      </c>
    </row>
    <row r="23" spans="1:17">
      <c r="A23" s="477" t="s">
        <v>194</v>
      </c>
      <c r="B23" s="478">
        <f t="shared" ca="1" si="2"/>
        <v>160.43102326415976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160.43102326415976</v>
      </c>
    </row>
    <row r="24" spans="1:17">
      <c r="A24" s="477" t="s">
        <v>112</v>
      </c>
      <c r="B24" s="478">
        <f t="shared" ca="1" si="2"/>
        <v>131.2312231692764</v>
      </c>
      <c r="C24" s="478">
        <f t="shared" ca="1" si="3"/>
        <v>0</v>
      </c>
      <c r="D24" s="478">
        <f t="shared" si="4"/>
        <v>133.31182084583318</v>
      </c>
      <c r="E24" s="478">
        <f t="shared" si="5"/>
        <v>4.4398511844723059</v>
      </c>
      <c r="F24" s="478">
        <f t="shared" si="6"/>
        <v>740.15509391594253</v>
      </c>
      <c r="G24" s="478">
        <f t="shared" si="7"/>
        <v>0</v>
      </c>
      <c r="H24" s="478">
        <f t="shared" si="8"/>
        <v>0</v>
      </c>
      <c r="I24" s="478">
        <f t="shared" si="9"/>
        <v>0</v>
      </c>
      <c r="J24" s="478">
        <f t="shared" si="10"/>
        <v>34.127550327676893</v>
      </c>
      <c r="K24" s="478">
        <f t="shared" si="11"/>
        <v>0</v>
      </c>
      <c r="L24" s="478">
        <f t="shared" si="12"/>
        <v>0</v>
      </c>
      <c r="M24" s="478">
        <f t="shared" si="13"/>
        <v>0</v>
      </c>
      <c r="N24" s="478">
        <f t="shared" si="14"/>
        <v>0</v>
      </c>
      <c r="O24" s="478">
        <f t="shared" si="15"/>
        <v>0</v>
      </c>
      <c r="P24" s="479">
        <f t="shared" si="16"/>
        <v>0</v>
      </c>
      <c r="Q24" s="477">
        <f t="shared" ca="1" si="17"/>
        <v>1043.2655394432013</v>
      </c>
    </row>
    <row r="25" spans="1:17">
      <c r="A25" s="477" t="s">
        <v>635</v>
      </c>
      <c r="B25" s="478">
        <f t="shared" ca="1" si="2"/>
        <v>1213.0350063896317</v>
      </c>
      <c r="C25" s="478">
        <f t="shared" ca="1" si="3"/>
        <v>0</v>
      </c>
      <c r="D25" s="478">
        <f t="shared" si="4"/>
        <v>6123.6284753669634</v>
      </c>
      <c r="E25" s="478">
        <f t="shared" si="5"/>
        <v>125.10545238053572</v>
      </c>
      <c r="F25" s="478">
        <f t="shared" si="6"/>
        <v>469.88186450281677</v>
      </c>
      <c r="G25" s="478">
        <f t="shared" si="7"/>
        <v>0</v>
      </c>
      <c r="H25" s="478">
        <f t="shared" si="8"/>
        <v>0</v>
      </c>
      <c r="I25" s="478">
        <f t="shared" si="9"/>
        <v>0</v>
      </c>
      <c r="J25" s="478">
        <f t="shared" si="10"/>
        <v>6.1966710445214952</v>
      </c>
      <c r="K25" s="478">
        <f t="shared" si="11"/>
        <v>0</v>
      </c>
      <c r="L25" s="478">
        <f t="shared" si="12"/>
        <v>0</v>
      </c>
      <c r="M25" s="478">
        <f t="shared" si="13"/>
        <v>0</v>
      </c>
      <c r="N25" s="478">
        <f t="shared" si="14"/>
        <v>0</v>
      </c>
      <c r="O25" s="478">
        <f t="shared" si="15"/>
        <v>0</v>
      </c>
      <c r="P25" s="479">
        <f t="shared" si="16"/>
        <v>0</v>
      </c>
      <c r="Q25" s="477">
        <f t="shared" ca="1" si="17"/>
        <v>7937.8474696844696</v>
      </c>
    </row>
    <row r="26" spans="1:17" s="483" customFormat="1">
      <c r="A26" s="481" t="s">
        <v>561</v>
      </c>
      <c r="B26" s="835">
        <f t="shared" ca="1" si="2"/>
        <v>2.4998842355583957</v>
      </c>
      <c r="C26" s="482">
        <f t="shared" ca="1" si="3"/>
        <v>0</v>
      </c>
      <c r="D26" s="482">
        <f t="shared" si="4"/>
        <v>8.6740796433129965</v>
      </c>
      <c r="E26" s="482">
        <f t="shared" si="5"/>
        <v>13.058973413924852</v>
      </c>
      <c r="F26" s="482">
        <f t="shared" si="6"/>
        <v>0</v>
      </c>
      <c r="G26" s="482">
        <f t="shared" si="7"/>
        <v>4825.1493175458772</v>
      </c>
      <c r="H26" s="482">
        <f t="shared" si="8"/>
        <v>1207.1881945368614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6056.5704493755347</v>
      </c>
    </row>
    <row r="27" spans="1:17">
      <c r="A27" s="477" t="s">
        <v>551</v>
      </c>
      <c r="B27" s="478">
        <f t="shared" ca="1" si="2"/>
        <v>0</v>
      </c>
      <c r="C27" s="478">
        <f t="shared" ca="1" si="3"/>
        <v>0</v>
      </c>
      <c r="D27" s="478">
        <f t="shared" si="4"/>
        <v>0</v>
      </c>
      <c r="E27" s="478">
        <f t="shared" si="5"/>
        <v>0</v>
      </c>
      <c r="F27" s="478">
        <f t="shared" si="6"/>
        <v>0</v>
      </c>
      <c r="G27" s="478">
        <f t="shared" si="7"/>
        <v>100.53328087613858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100.53328087613858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6531.7734692987524</v>
      </c>
      <c r="C31" s="488">
        <f t="shared" ca="1" si="18"/>
        <v>0</v>
      </c>
      <c r="D31" s="488">
        <f t="shared" ca="1" si="18"/>
        <v>14322.199425795499</v>
      </c>
      <c r="E31" s="488">
        <f t="shared" si="18"/>
        <v>1596.8416373531386</v>
      </c>
      <c r="F31" s="488">
        <f t="shared" ca="1" si="18"/>
        <v>7698.8629612035738</v>
      </c>
      <c r="G31" s="488">
        <f t="shared" si="18"/>
        <v>4925.6825984220159</v>
      </c>
      <c r="H31" s="488">
        <f t="shared" si="18"/>
        <v>1207.1881945368614</v>
      </c>
      <c r="I31" s="488">
        <f t="shared" si="18"/>
        <v>0</v>
      </c>
      <c r="J31" s="488">
        <f t="shared" si="18"/>
        <v>40.333916181371585</v>
      </c>
      <c r="K31" s="488">
        <f t="shared" si="18"/>
        <v>0</v>
      </c>
      <c r="L31" s="488">
        <f t="shared" ca="1" si="18"/>
        <v>0</v>
      </c>
      <c r="M31" s="488">
        <f t="shared" si="18"/>
        <v>0</v>
      </c>
      <c r="N31" s="488">
        <f t="shared" ca="1" si="18"/>
        <v>0</v>
      </c>
      <c r="O31" s="488">
        <f t="shared" si="18"/>
        <v>0</v>
      </c>
      <c r="P31" s="489">
        <f t="shared" si="18"/>
        <v>0</v>
      </c>
      <c r="Q31" s="489">
        <f t="shared" ca="1" si="18"/>
        <v>36322.88220279121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0.19721472489214262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0.19721472489214262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0.19721472489214262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2018-09-06T12:46:22Z</dcterms:modified>
</cp:coreProperties>
</file>