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20" i="16"/>
  <c r="C22" s="1"/>
  <c r="D39" i="14" s="1"/>
  <c r="C10" i="13"/>
  <c r="C16" i="48" s="1"/>
  <c r="C30"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C28" l="1"/>
  <c r="C22"/>
  <c r="R13" i="14"/>
  <c r="R15" s="1"/>
  <c r="R23" s="1"/>
  <c r="C25"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<sst xmlns="http://schemas.openxmlformats.org/spreadsheetml/2006/main" count="1965" uniqueCount="835">
  <si>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</si>
  <si>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</si>
  <si>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</si>
  <si>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</si>
  <si>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</si>
  <si>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</si>
  <si>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</si>
  <si>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</si>
  <si>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</si>
  <si>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</si>
  <si>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</si>
  <si>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</si>
  <si>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</si>
  <si>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</si>
  <si>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</si>
  <si>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</si>
  <si>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</si>
  <si>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</si>
  <si>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</si>
  <si>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</si>
  <si>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</si>
  <si>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</si>
  <si>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</si>
  <si>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</si>
  <si>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</si>
  <si>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</si>
  <si>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</si>
  <si>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</si>
  <si>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</si>
  <si>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</si>
  <si>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</si>
  <si>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</si>
  <si>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</si>
  <si>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</si>
  <si>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</si>
  <si>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</si>
  <si>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</si>
  <si>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</si>
  <si>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</si>
  <si>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</si>
  <si>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</si>
  <si>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</si>
  <si>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</si>
  <si>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</si>
  <si>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</si>
  <si>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</si>
  <si>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</si>
  <si>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</si>
  <si>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</si>
  <si>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</si>
  <si>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</si>
  <si>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</si>
  <si>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</si>
  <si>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</si>
  <si>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</si>
  <si>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</si>
  <si>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</si>
  <si>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</si>
  <si>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</si>
  <si>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</si>
  <si>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</si>
  <si>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</si>
  <si>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</si>
  <si>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</si>
  <si>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</si>
  <si>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</si>
  <si>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</si>
  <si>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</si>
  <si>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</si>
  <si>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</si>
  <si>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</si>
  <si>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</si>
  <si>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</si>
  <si>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</si>
  <si>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</si>
  <si>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</si>
  <si>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</si>
  <si>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</si>
  <si>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</si>
  <si>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</si>
  <si>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</si>
  <si>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</si>
  <si>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</si>
  <si>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</si>
  <si>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</si>
  <si>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</si>
  <si>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</si>
  <si>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</si>
  <si>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</si>
  <si>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</si>
  <si>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</si>
  <si>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</si>
  <si>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</si>
  <si>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</si>
  <si>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</si>
  <si>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</si>
  <si>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</si>
  <si>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</si>
  <si>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</si>
  <si>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</si>
  <si>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</si>
  <si>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</si>
  <si>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</si>
  <si>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</si>
  <si>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</si>
  <si>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</si>
  <si>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</si>
  <si>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</si>
  <si>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</si>
  <si>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</si>
  <si>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</si>
  <si>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</si>
  <si>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</si>
  <si>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</si>
  <si>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</si>
  <si>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</si>
  <si>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</si>
  <si>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</si>
  <si>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</si>
  <si>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</si>
  <si>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</si>
  <si>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</si>
  <si>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</si>
  <si>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</si>
  <si>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</si>
  <si>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</si>
  <si>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</si>
  <si>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</si>
  <si>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</si>
  <si>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</si>
  <si>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</si>
  <si>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</si>
  <si>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</si>
  <si>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</si>
  <si>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</si>
  <si>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</si>
  <si>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</si>
  <si>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</si>
  <si>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</si>
  <si>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</si>
  <si>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</si>
  <si>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</si>
  <si>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</si>
  <si>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</si>
  <si>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</si>
  <si>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</si>
  <si>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</si>
  <si>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</si>
  <si>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</si>
  <si>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</si>
  <si>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</si>
  <si>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</si>
  <si>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</si>
  <si>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</si>
  <si>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</si>
  <si>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</si>
  <si>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</si>
  <si>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</si>
  <si>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</si>
  <si>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</si>
  <si>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</si>
  <si>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</si>
  <si>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</si>
  <si>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</si>
  <si>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</si>
  <si>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</si>
  <si>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</si>
  <si>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</si>
  <si>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</si>
  <si>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</si>
  <si>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</si>
  <si>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</si>
  <si>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</si>
  <si>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</si>
  <si>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</si>
  <si>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</si>
  <si>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</si>
  <si>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</si>
  <si>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</si>
  <si>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</si>
  <si>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</si>
  <si>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</si>
  <si>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</si>
  <si>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</si>
  <si>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</si>
  <si>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</si>
  <si>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</si>
  <si>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</si>
  <si>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</si>
  <si>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</si>
  <si>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</si>
  <si>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</si>
  <si>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</si>
  <si>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</si>
  <si>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</si>
  <si>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</si>
  <si>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</si>
  <si>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</si>
  <si>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</si>
  <si>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</si>
  <si>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</si>
  <si>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</si>
  <si>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</si>
  <si>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</si>
  <si>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</si>
  <si>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</si>
  <si>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</si>
  <si>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</si>
  <si>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</si>
  <si>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</si>
  <si>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</si>
  <si>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</si>
  <si>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</si>
  <si>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</si>
  <si>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</si>
  <si>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</si>
  <si>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</si>
  <si>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</si>
  <si>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</si>
  <si>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</si>
  <si>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</si>
  <si>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</si>
  <si>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</si>
  <si>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</si>
  <si>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</si>
  <si>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</si>
  <si>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</si>
  <si>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</si>
  <si>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</si>
  <si>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</si>
  <si>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</si>
  <si>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</si>
  <si>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</si>
  <si>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</si>
  <si>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</si>
  <si>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</si>
  <si>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</si>
  <si>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</si>
  <si>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</si>
  <si>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</si>
  <si>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</si>
  <si>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</si>
  <si>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</si>
  <si>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</si>
  <si>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</si>
  <si>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</si>
  <si>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</si>
  <si>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</si>
  <si>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</si>
  <si>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</si>
  <si>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</si>
  <si>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</si>
  <si>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</si>
  <si>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</si>
  <si>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</si>
  <si>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</si>
  <si>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</si>
  <si>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</si>
  <si>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</si>
  <si>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</si>
  <si>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</si>
  <si>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</si>
  <si>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</si>
  <si>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</si>
  <si>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</si>
  <si>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</si>
  <si>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</si>
  <si>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</si>
  <si>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</si>
  <si>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</si>
  <si>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</si>
  <si>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</si>
  <si>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</si>
  <si>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</si>
  <si>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</si>
  <si>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</si>
  <si>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</si>
  <si>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</si>
  <si>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</si>
  <si>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</si>
  <si>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</si>
  <si>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</si>
  <si>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</si>
  <si>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</si>
  <si>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</si>
  <si>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</si>
  <si>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</si>
  <si>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</si>
  <si>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</si>
  <si>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</si>
  <si>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</si>
  <si>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</si>
  <si>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</si>
  <si>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</si>
  <si>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</si>
  <si>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</si>
  <si>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</si>
  <si>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</si>
  <si>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</si>
  <si>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</si>
  <si>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</si>
  <si>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</si>
  <si>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</si>
  <si>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</si>
  <si>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</si>
  <si>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</si>
  <si>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</si>
  <si>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</si>
  <si>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</si>
  <si>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</si>
  <si>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</si>
  <si>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</si>
  <si>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</si>
  <si>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</si>
  <si>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</si>
  <si>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</si>
  <si>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</si>
  <si>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</si>
  <si>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</si>
  <si>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</si>
  <si>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</si>
  <si>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</si>
  <si>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</si>
  <si>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</si>
  <si>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</si>
  <si>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</si>
  <si>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</si>
  <si>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</si>
  <si>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</si>
  <si>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</si>
  <si>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</si>
  <si>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</si>
  <si>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</si>
  <si>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</si>
  <si>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</si>
  <si>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</si>
  <si>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</si>
  <si>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</si>
  <si>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</si>
  <si>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</si>
  <si>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</si>
  <si>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</si>
  <si>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</si>
  <si>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</si>
  <si>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</si>
  <si>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</si>
  <si>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</si>
  <si>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</si>
  <si>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</si>
  <si>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</si>
  <si>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</si>
  <si>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</si>
  <si>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</si>
  <si>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</si>
  <si>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</si>
  <si>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</si>
  <si>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</si>
  <si>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</si>
  <si>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</si>
  <si>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</si>
  <si>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</si>
  <si>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</si>
  <si>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</si>
  <si>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</si>
  <si>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</si>
  <si>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</si>
  <si>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</si>
  <si>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</si>
  <si>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</si>
  <si>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</si>
  <si>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</si>
  <si>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</si>
  <si>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</si>
  <si>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</si>
  <si>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</si>
  <si>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</si>
  <si>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</si>
  <si>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</si>
  <si>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</si>
  <si>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</si>
  <si>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</si>
  <si>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</si>
  <si>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</si>
  <si>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</si>
  <si>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</si>
  <si>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</si>
  <si>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</si>
  <si>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</si>
  <si>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</si>
  <si>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</si>
  <si>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</si>
  <si>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</si>
  <si>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</si>
  <si>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</si>
  <si>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</si>
  <si>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</si>
  <si>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</si>
  <si>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</si>
  <si>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</si>
  <si>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</si>
  <si>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</si>
  <si>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</si>
  <si>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</si>
  <si>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</si>
  <si>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</si>
  <si>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</si>
  <si>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</si>
  <si>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</si>
  <si>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</si>
  <si>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</si>
  <si>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</si>
  <si>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</si>
  <si>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</si>
  <si>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</si>
  <si>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</si>
  <si>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</si>
  <si>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</si>
  <si>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</si>
  <si>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</si>
  <si>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</si>
  <si>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</si>
  <si>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</si>
  <si>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</si>
  <si>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</si>
  <si>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</si>
  <si>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</si>
  <si>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</si>
  <si>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</si>
  <si>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</si>
  <si>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</si>
  <si>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</si>
  <si>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</si>
  <si>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</si>
  <si>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</si>
  <si>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</si>
  <si>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</si>
  <si>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</si>
  <si>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</si>
  <si>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</si>
  <si>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</si>
  <si>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</si>
  <si>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</si>
  <si>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</si>
  <si>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</si>
  <si>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</si>
  <si>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</si>
  <si>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</si>
  <si>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</si>
  <si>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</si>
  <si>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</si>
  <si>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</si>
  <si>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</si>
  <si>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</si>
  <si>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</si>
  <si>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</si>
  <si>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</si>
  <si>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</si>
  <si>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</si>
  <si>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</si>
  <si>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</si>
  <si>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</si>
  <si>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</si>
  <si>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</si>
  <si>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</si>
  <si>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</si>
  <si>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</si>
  <si>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</si>
  <si>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</si>
  <si>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</si>
  <si>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</si>
  <si>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</si>
  <si>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</si>
  <si>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</si>
  <si>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</si>
  <si>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</si>
  <si>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</si>
  <si>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</si>
  <si>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</si>
  <si>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</si>
  <si>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</si>
  <si>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</si>
  <si>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</si>
  <si>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</si>
  <si>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</si>
  <si>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</si>
  <si>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</si>
  <si>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</si>
  <si>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</si>
  <si>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</si>
  <si>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</si>
  <si>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</si>
  <si>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</si>
  <si>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</si>
  <si>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</si>
  <si>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</si>
  <si>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</si>
  <si>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</si>
  <si>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</si>
  <si>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</si>
  <si>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</si>
  <si>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</si>
  <si>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</si>
  <si>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</si>
  <si>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</si>
  <si>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</si>
  <si>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</si>
  <si>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</si>
  <si>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</si>
  <si>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</si>
  <si>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</si>
  <si>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</si>
  <si>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</si>
  <si>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</si>
  <si>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</si>
  <si>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</si>
  <si>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</si>
  <si>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</si>
  <si>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</si>
  <si>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</si>
  <si>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</si>
  <si>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</si>
  <si>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</si>
  <si>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</si>
  <si>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</si>
  <si>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</si>
  <si>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</si>
  <si>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</si>
  <si>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</si>
  <si>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</si>
  <si>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</si>
  <si>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</si>
  <si>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</si>
  <si>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</si>
  <si>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</si>
  <si>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</si>
  <si>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</si>
  <si>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</si>
  <si>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</si>
  <si>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</si>
  <si>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</si>
  <si>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</si>
  <si>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</si>
  <si>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</si>
  <si>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</si>
  <si>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</si>
  <si>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</si>
  <si>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</si>
  <si>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</si>
  <si>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</si>
  <si>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</si>
  <si>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</si>
  <si>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</si>
  <si>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</si>
  <si>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</si>
  <si>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</si>
  <si>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</si>
  <si>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</si>
  <si>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</si>
  <si>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</si>
  <si>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</si>
  <si>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</si>
  <si>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</si>
  <si>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</si>
  <si>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</si>
  <si>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</si>
  <si>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</si>
  <si>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</si>
  <si>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</si>
  <si>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</si>
  <si>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</si>
  <si>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</si>
  <si>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</si>
  <si>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</si>
  <si>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</si>
  <si>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</si>
  <si>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</si>
  <si>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</si>
  <si>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</si>
  <si>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</si>
  <si>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</si>
  <si>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</si>
  <si>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</si>
  <si>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</si>
  <si>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</si>
  <si>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</si>
  <si>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</si>
  <si>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</si>
  <si>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</si>
  <si>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</si>
  <si>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</si>
  <si>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</si>
  <si>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</si>
  <si>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</si>
  <si>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</si>
  <si>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</si>
  <si>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</si>
  <si>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</si>
  <si>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</si>
  <si>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</si>
  <si>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</si>
  <si>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</si>
  <si>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</si>
  <si>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</si>
  <si>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</si>
  <si>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</si>
  <si>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</si>
  <si>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</si>
  <si>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</si>
  <si>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</si>
  <si>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</si>
  <si>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</si>
  <si>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</si>
  <si>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</si>
  <si>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</si>
  <si>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</si>
  <si>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</si>
  <si>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</si>
  <si>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</si>
  <si>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</si>
  <si>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</si>
  <si>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</si>
  <si>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</si>
  <si>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</si>
  <si>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</si>
  <si>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</si>
  <si>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</si>
  <si>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</si>
  <si>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</si>
  <si>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</si>
  <si>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</si>
  <si>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</si>
  <si>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</si>
  <si>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</si>
  <si>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</si>
  <si>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</si>
  <si>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</si>
  <si>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</si>
  <si>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</si>
  <si>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</si>
  <si>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</si>
  <si>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</si>
  <si>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</si>
  <si>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</si>
  <si>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</si>
  <si>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</si>
  <si>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</si>
  <si>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</si>
  <si>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</si>
  <si>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</si>
  <si>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</si>
  <si>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</si>
  <si>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</si>
  <si>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</si>
  <si>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</si>
  <si>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</si>
  <si>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</si>
  <si>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</si>
  <si>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</si>
  <si>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</si>
  <si>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</si>
  <si>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</si>
  <si>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</si>
  <si>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</si>
  <si>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</si>
  <si>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</si>
  <si>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</si>
  <si>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</si>
  <si>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</si>
  <si>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</si>
  <si>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</si>
  <si>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</si>
  <si>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</si>
  <si>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</si>
  <si>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</si>
  <si>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</si>
  <si>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</si>
  <si>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</si>
  <si>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</si>
  <si>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</si>
  <si>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</si>
  <si>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</si>
  <si>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</si>
  <si>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</si>
  <si>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</si>
  <si>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</si>
  <si>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</si>
  <si>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</si>
  <si>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</si>
  <si>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</si>
  <si>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</si>
  <si>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</si>
  <si>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</si>
  <si>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</si>
  <si>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</si>
  <si>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</si>
  <si>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</si>
  <si>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</si>
  <si>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</si>
  <si>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</si>
  <si>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</si>
  <si>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</si>
  <si>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</si>
  <si>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</si>
  <si>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</si>
  <si>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</si>
  <si>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</si>
  <si>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</si>
  <si>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</si>
  <si>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</si>
  <si>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</si>
  <si>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</si>
  <si>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</si>
  <si>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</si>
  <si>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</si>
  <si>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</si>
  <si>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</si>
  <si>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</si>
  <si>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</si>
  <si>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</si>
  <si>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</si>
  <si>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</si>
  <si>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</si>
  <si>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</si>
  <si>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</si>
  <si>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</si>
  <si>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</si>
  <si>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</si>
  <si>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</si>
  <si>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</si>
  <si>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</si>
  <si>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</si>
  <si>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</si>
  <si>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</si>
  <si>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</si>
  <si>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</si>
  <si>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</si>
  <si>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</si>
  <si>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</si>
  <si>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</si>
  <si>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</si>
  <si>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</si>
  <si>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</si>
  <si>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</si>
  <si>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</si>
  <si>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</si>
  <si>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</si>
  <si>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</si>
  <si>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</si>
  <si>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</si>
  <si>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</si>
  <si>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</si>
  <si>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</si>
  <si>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</si>
  <si>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</si>
  <si>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</si>
  <si>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</si>
  <si>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</si>
  <si>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</si>
  <si>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</si>
  <si>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</si>
  <si>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</si>
  <si>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</si>
  <si>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</si>
  <si>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</si>
  <si>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</si>
  <si>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</si>
  <si>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</si>
  <si>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</si>
  <si>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</si>
  <si>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</si>
  <si>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</si>
  <si>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</si>
  <si>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</si>
  <si>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</si>
  <si>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</si>
  <si>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</si>
  <si>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</si>
  <si>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</si>
  <si>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</si>
  <si>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</si>
  <si>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</si>
  <si>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</si>
  <si>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</si>
  <si>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</si>
  <si>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</si>
  <si>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</si>
  <si>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</si>
  <si>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</si>
  <si>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</si>
  <si>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</si>
  <si>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</si>
  <si>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</si>
  <si>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</si>
  <si>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</si>
  <si>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</si>
  <si>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</si>
  <si>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</si>
  <si>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</si>
  <si>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</si>
  <si>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</si>
  <si>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</si>
  <si>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13013</t>
  </si>
  <si>
    <t>HERSELT</t>
  </si>
  <si>
    <t>Eandis (januari 2018); Infrax (juni 2018)</t>
  </si>
  <si>
    <t>MOW (september 2017)</t>
  </si>
  <si>
    <t>referentietaak LNE (2017); Jaarverslag De Lijn (2016)</t>
  </si>
  <si>
    <t>VEA (april 2018)</t>
  </si>
  <si>
    <t>VEA (januari 2017)</t>
  </si>
  <si>
    <t>VEA (juni 2018)</t>
  </si>
  <si>
    <t>Tuinbouwbedrijf Van Den Heuvel bvba</t>
  </si>
  <si>
    <t>Begijnendijksesteenweg 43 A, 2230 Herselt</t>
  </si>
  <si>
    <t>WKK-0179 Tuinbouwbedrijf Van Den Heuvel bvba</t>
  </si>
  <si>
    <t>interne verbrandingsmotor</t>
  </si>
  <si>
    <t>WKK interne verbrandinsgmotor (gas)</t>
  </si>
  <si>
    <t>IVERLEK</t>
  </si>
  <si>
    <t>Greenergy bvba</t>
  </si>
  <si>
    <t>Dieperstraat 110 , 2230 Herselt</t>
  </si>
  <si>
    <t>WKK-0247 Greenergy</t>
  </si>
  <si>
    <t>Woonzorgcentrum Sint-Barbara vzw</t>
  </si>
  <si>
    <t>Dieperstraat 17 , 2230 Herselt</t>
  </si>
  <si>
    <t>WKK-0648 Woonzorgcentrum Sint-Barbara</t>
  </si>
  <si>
    <t>WKK-0652 Firma De Ploeg</t>
  </si>
  <si>
    <t>Diestsebaan 73 , 2230 Herselt</t>
  </si>
  <si>
    <t>Greenenergy II</t>
  </si>
  <si>
    <t>WKK-0773</t>
  </si>
  <si>
    <t>Biogas - hoofdzakelijk agrarische stromen</t>
  </si>
  <si>
    <t>Dieperstraat 110, 2230 Herselt, BE</t>
  </si>
  <si>
    <t>IVERLEK (via EANDIS)</t>
  </si>
  <si>
    <t>Aquafin NV</t>
  </si>
  <si>
    <t>Dijkstraat 8 , 2630 Aartselaar</t>
  </si>
  <si>
    <t>BGS-0047 RWZI Westerlo</t>
  </si>
  <si>
    <t>biogas - RWZI</t>
  </si>
  <si>
    <t>niet WKK interne verbrandingsmotor (gas)</t>
  </si>
  <si>
    <t>Kwarrekendreef 2 , 2230 Westerlo</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</si>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</sst>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157875.22167204358</c:v>
                </c:pt>
                <c:pt idx="1">
                  <c:v>26108.157718037324</c:v>
                </c:pt>
                <c:pt idx="2">
                  <c:v>733.15599999999995</c:v>
                </c:pt>
                <c:pt idx="3">
                  <c:v>35780.864039875916</c:v>
                </c:pt>
                <c:pt idx="4">
                  <c:v>10348.534076308561</c:v>
                </c:pt>
                <c:pt idx="5">
                  <c:v>81629.949942484862</c:v>
                </c:pt>
                <c:pt idx="6">
                  <c:v>1207.3000752861624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157875.22167204358</c:v>
                </c:pt>
                <c:pt idx="1">
                  <c:v>26108.157718037324</c:v>
                </c:pt>
                <c:pt idx="2">
                  <c:v>733.15599999999995</c:v>
                </c:pt>
                <c:pt idx="3">
                  <c:v>35780.864039875916</c:v>
                </c:pt>
                <c:pt idx="4">
                  <c:v>10348.534076308561</c:v>
                </c:pt>
                <c:pt idx="5">
                  <c:v>81629.949942484862</c:v>
                </c:pt>
                <c:pt idx="6">
                  <c:v>1207.3000752861624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28797.067722975487</c:v>
                </c:pt>
                <c:pt idx="1">
                  <c:v>4234.3023491499016</c:v>
                </c:pt>
                <c:pt idx="2">
                  <c:v>89.629349955560059</c:v>
                </c:pt>
                <c:pt idx="3">
                  <c:v>4184.022802469407</c:v>
                </c:pt>
                <c:pt idx="4">
                  <c:v>1935.149907539444</c:v>
                </c:pt>
                <c:pt idx="5">
                  <c:v>20406.980244018909</c:v>
                </c:pt>
                <c:pt idx="6">
                  <c:v>305.02504415003972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19872"/>
      </c:barChart>
      <c:catAx>
        <c:axId val="183085312"/>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28797.067722975487</c:v>
                </c:pt>
                <c:pt idx="1">
                  <c:v>4234.3023491499016</c:v>
                </c:pt>
                <c:pt idx="2">
                  <c:v>89.629349955560059</c:v>
                </c:pt>
                <c:pt idx="3">
                  <c:v>4184.022802469407</c:v>
                </c:pt>
                <c:pt idx="4">
                  <c:v>1935.149907539444</c:v>
                </c:pt>
                <c:pt idx="5">
                  <c:v>20406.980244018909</c:v>
                </c:pt>
                <c:pt idx="6">
                  <c:v>305.02504415003972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13013</v>
      </c>
      <c r="B6" s="415"/>
      <c r="C6" s="416"/>
    </row>
    <row r="7" spans="1:7" s="413" customFormat="1" ht="15.75" customHeight="1">
      <c r="A7" s="417" t="str">
        <f>txtMunicipality</f>
        <v>HERSELT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6038</v>
      </c>
      <c r="C9" s="342">
        <v>6515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1684.78</v>
      </c>
    </row>
    <row r="15" spans="1:6">
      <c r="A15" s="348" t="s">
        <v>184</v>
      </c>
      <c r="B15" s="334">
        <v>2755</v>
      </c>
    </row>
    <row r="16" spans="1:6">
      <c r="A16" s="348" t="s">
        <v>6</v>
      </c>
      <c r="B16" s="334">
        <v>902</v>
      </c>
    </row>
    <row r="17" spans="1:6">
      <c r="A17" s="348" t="s">
        <v>7</v>
      </c>
      <c r="B17" s="334">
        <v>203</v>
      </c>
    </row>
    <row r="18" spans="1:6">
      <c r="A18" s="348" t="s">
        <v>8</v>
      </c>
      <c r="B18" s="334">
        <v>587</v>
      </c>
    </row>
    <row r="19" spans="1:6">
      <c r="A19" s="348" t="s">
        <v>9</v>
      </c>
      <c r="B19" s="334">
        <v>523</v>
      </c>
    </row>
    <row r="20" spans="1:6">
      <c r="A20" s="348" t="s">
        <v>10</v>
      </c>
      <c r="B20" s="334">
        <v>238</v>
      </c>
    </row>
    <row r="21" spans="1:6">
      <c r="A21" s="348" t="s">
        <v>11</v>
      </c>
      <c r="B21" s="334">
        <v>3313</v>
      </c>
    </row>
    <row r="22" spans="1:6">
      <c r="A22" s="348" t="s">
        <v>12</v>
      </c>
      <c r="B22" s="334">
        <v>36</v>
      </c>
    </row>
    <row r="23" spans="1:6">
      <c r="A23" s="348" t="s">
        <v>13</v>
      </c>
      <c r="B23" s="334">
        <v>208</v>
      </c>
    </row>
    <row r="24" spans="1:6">
      <c r="A24" s="348" t="s">
        <v>14</v>
      </c>
      <c r="B24" s="334">
        <v>3</v>
      </c>
    </row>
    <row r="25" spans="1:6">
      <c r="A25" s="348" t="s">
        <v>15</v>
      </c>
      <c r="B25" s="334">
        <v>704</v>
      </c>
    </row>
    <row r="26" spans="1:6">
      <c r="A26" s="348" t="s">
        <v>16</v>
      </c>
      <c r="B26" s="334">
        <v>114</v>
      </c>
    </row>
    <row r="27" spans="1:6">
      <c r="A27" s="348" t="s">
        <v>17</v>
      </c>
      <c r="B27" s="334">
        <v>13</v>
      </c>
    </row>
    <row r="28" spans="1:6" s="356" customFormat="1">
      <c r="A28" s="355" t="s">
        <v>18</v>
      </c>
      <c r="B28" s="355">
        <v>13419</v>
      </c>
    </row>
    <row r="29" spans="1:6">
      <c r="A29" s="355" t="s">
        <v>744</v>
      </c>
      <c r="B29" s="355">
        <v>167</v>
      </c>
      <c r="C29" s="356"/>
      <c r="D29" s="356"/>
      <c r="E29" s="356"/>
      <c r="F29" s="356"/>
    </row>
    <row r="30" spans="1:6">
      <c r="A30" s="341" t="s">
        <v>745</v>
      </c>
      <c r="B30" s="341">
        <v>32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94633.261139220005</v>
      </c>
      <c r="E38" s="334">
        <v>0</v>
      </c>
      <c r="F38" s="334">
        <v>0</v>
      </c>
    </row>
    <row r="39" spans="1:6">
      <c r="A39" s="348" t="s">
        <v>30</v>
      </c>
      <c r="B39" s="348" t="s">
        <v>31</v>
      </c>
      <c r="C39" s="334">
        <v>2208</v>
      </c>
      <c r="D39" s="334">
        <v>35754540.767737001</v>
      </c>
      <c r="E39" s="334">
        <v>6167</v>
      </c>
      <c r="F39" s="334">
        <v>21589327.234611999</v>
      </c>
    </row>
    <row r="40" spans="1:6">
      <c r="A40" s="348" t="s">
        <v>30</v>
      </c>
      <c r="B40" s="348" t="s">
        <v>29</v>
      </c>
      <c r="C40" s="334">
        <v>0</v>
      </c>
      <c r="D40" s="334">
        <v>0</v>
      </c>
      <c r="E40" s="334">
        <v>0</v>
      </c>
      <c r="F40" s="334">
        <v>0</v>
      </c>
    </row>
    <row r="41" spans="1:6">
      <c r="A41" s="348" t="s">
        <v>32</v>
      </c>
      <c r="B41" s="348" t="s">
        <v>33</v>
      </c>
      <c r="C41" s="334">
        <v>20</v>
      </c>
      <c r="D41" s="334">
        <v>494511.37618501001</v>
      </c>
      <c r="E41" s="334">
        <v>94</v>
      </c>
      <c r="F41" s="334">
        <v>905935.77464605204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59585.622040303198</v>
      </c>
      <c r="E44" s="334">
        <v>14</v>
      </c>
      <c r="F44" s="334">
        <v>103552.095987931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9802.5653980413008</v>
      </c>
    </row>
    <row r="48" spans="1:6">
      <c r="A48" s="348" t="s">
        <v>32</v>
      </c>
      <c r="B48" s="348" t="s">
        <v>29</v>
      </c>
      <c r="C48" s="334">
        <v>18</v>
      </c>
      <c r="D48" s="334">
        <v>6813799.0347899701</v>
      </c>
      <c r="E48" s="334">
        <v>30</v>
      </c>
      <c r="F48" s="334">
        <v>242407.84900234299</v>
      </c>
    </row>
    <row r="49" spans="1:6">
      <c r="A49" s="348" t="s">
        <v>32</v>
      </c>
      <c r="B49" s="348" t="s">
        <v>40</v>
      </c>
      <c r="C49" s="334">
        <v>0</v>
      </c>
      <c r="D49" s="334">
        <v>0</v>
      </c>
      <c r="E49" s="334">
        <v>0</v>
      </c>
      <c r="F49" s="334">
        <v>0</v>
      </c>
    </row>
    <row r="50" spans="1:6">
      <c r="A50" s="348" t="s">
        <v>32</v>
      </c>
      <c r="B50" s="348" t="s">
        <v>41</v>
      </c>
      <c r="C50" s="334">
        <v>3</v>
      </c>
      <c r="D50" s="334">
        <v>602451.88661043299</v>
      </c>
      <c r="E50" s="334">
        <v>7</v>
      </c>
      <c r="F50" s="334">
        <v>394733.18001380202</v>
      </c>
    </row>
    <row r="51" spans="1:6">
      <c r="A51" s="348" t="s">
        <v>42</v>
      </c>
      <c r="B51" s="348" t="s">
        <v>43</v>
      </c>
      <c r="C51" s="334">
        <v>3</v>
      </c>
      <c r="D51" s="334">
        <v>21086934.3054769</v>
      </c>
      <c r="E51" s="334">
        <v>49</v>
      </c>
      <c r="F51" s="334">
        <v>1273242.86671859</v>
      </c>
    </row>
    <row r="52" spans="1:6">
      <c r="A52" s="348" t="s">
        <v>42</v>
      </c>
      <c r="B52" s="348" t="s">
        <v>29</v>
      </c>
      <c r="C52" s="334">
        <v>4</v>
      </c>
      <c r="D52" s="334">
        <v>98529.398160882105</v>
      </c>
      <c r="E52" s="334">
        <v>7</v>
      </c>
      <c r="F52" s="334">
        <v>64718.899988598401</v>
      </c>
    </row>
    <row r="53" spans="1:6">
      <c r="A53" s="348" t="s">
        <v>44</v>
      </c>
      <c r="B53" s="348" t="s">
        <v>45</v>
      </c>
      <c r="C53" s="334">
        <v>30</v>
      </c>
      <c r="D53" s="334">
        <v>809203.42596619495</v>
      </c>
      <c r="E53" s="334">
        <v>307</v>
      </c>
      <c r="F53" s="334">
        <v>900657.03314134094</v>
      </c>
    </row>
    <row r="54" spans="1:6">
      <c r="A54" s="348" t="s">
        <v>46</v>
      </c>
      <c r="B54" s="348" t="s">
        <v>47</v>
      </c>
      <c r="C54" s="334">
        <v>0</v>
      </c>
      <c r="D54" s="334">
        <v>0</v>
      </c>
      <c r="E54" s="334">
        <v>1</v>
      </c>
      <c r="F54" s="334">
        <v>733156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758764.29721510306</v>
      </c>
      <c r="E57" s="334">
        <v>86</v>
      </c>
      <c r="F57" s="334">
        <v>1226735.3749033399</v>
      </c>
    </row>
    <row r="58" spans="1:6">
      <c r="A58" s="348" t="s">
        <v>49</v>
      </c>
      <c r="B58" s="348" t="s">
        <v>51</v>
      </c>
      <c r="C58" s="334">
        <v>3</v>
      </c>
      <c r="D58" s="334">
        <v>61341.935445911397</v>
      </c>
      <c r="E58" s="334">
        <v>20</v>
      </c>
      <c r="F58" s="334">
        <v>246716.22430708099</v>
      </c>
    </row>
    <row r="59" spans="1:6">
      <c r="A59" s="348" t="s">
        <v>49</v>
      </c>
      <c r="B59" s="348" t="s">
        <v>52</v>
      </c>
      <c r="C59" s="334">
        <v>29</v>
      </c>
      <c r="D59" s="334">
        <v>1156669.8011880601</v>
      </c>
      <c r="E59" s="334">
        <v>140</v>
      </c>
      <c r="F59" s="334">
        <v>3666198.8006765498</v>
      </c>
    </row>
    <row r="60" spans="1:6">
      <c r="A60" s="348" t="s">
        <v>49</v>
      </c>
      <c r="B60" s="348" t="s">
        <v>53</v>
      </c>
      <c r="C60" s="334">
        <v>25</v>
      </c>
      <c r="D60" s="334">
        <v>1081399.24512148</v>
      </c>
      <c r="E60" s="334">
        <v>66</v>
      </c>
      <c r="F60" s="334">
        <v>1476498.2952501799</v>
      </c>
    </row>
    <row r="61" spans="1:6">
      <c r="A61" s="348" t="s">
        <v>49</v>
      </c>
      <c r="B61" s="348" t="s">
        <v>54</v>
      </c>
      <c r="C61" s="334">
        <v>58</v>
      </c>
      <c r="D61" s="334">
        <v>1532500.94038153</v>
      </c>
      <c r="E61" s="334">
        <v>188</v>
      </c>
      <c r="F61" s="334">
        <v>4374804.86818098</v>
      </c>
    </row>
    <row r="62" spans="1:6">
      <c r="A62" s="348" t="s">
        <v>49</v>
      </c>
      <c r="B62" s="348" t="s">
        <v>55</v>
      </c>
      <c r="C62" s="334">
        <v>3</v>
      </c>
      <c r="D62" s="334">
        <v>143814.30426763499</v>
      </c>
      <c r="E62" s="334">
        <v>8</v>
      </c>
      <c r="F62" s="334">
        <v>58259.7457849661</v>
      </c>
    </row>
    <row r="63" spans="1:6">
      <c r="A63" s="348" t="s">
        <v>49</v>
      </c>
      <c r="B63" s="348" t="s">
        <v>29</v>
      </c>
      <c r="C63" s="334">
        <v>63</v>
      </c>
      <c r="D63" s="334">
        <v>6403482.8100576401</v>
      </c>
      <c r="E63" s="334">
        <v>91</v>
      </c>
      <c r="F63" s="334">
        <v>1443442.5821902</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8</v>
      </c>
      <c r="F66" s="334">
        <v>63166.901449263802</v>
      </c>
    </row>
    <row r="67" spans="1:6">
      <c r="A67" s="355" t="s">
        <v>56</v>
      </c>
      <c r="B67" s="355" t="s">
        <v>59</v>
      </c>
      <c r="C67" s="334">
        <v>0</v>
      </c>
      <c r="D67" s="334">
        <v>0</v>
      </c>
      <c r="E67" s="334">
        <v>0</v>
      </c>
      <c r="F67" s="334">
        <v>0</v>
      </c>
    </row>
    <row r="68" spans="1:6">
      <c r="A68" s="341" t="s">
        <v>56</v>
      </c>
      <c r="B68" s="341" t="s">
        <v>60</v>
      </c>
      <c r="C68" s="334">
        <v>0</v>
      </c>
      <c r="D68" s="334">
        <v>0</v>
      </c>
      <c r="E68" s="334">
        <v>6</v>
      </c>
      <c r="F68" s="334">
        <v>39394.718845131203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103173669</v>
      </c>
      <c r="E73" s="476">
        <v>104803173.74912621</v>
      </c>
    </row>
    <row r="74" spans="1:6">
      <c r="A74" s="348" t="s">
        <v>64</v>
      </c>
      <c r="B74" s="348" t="s">
        <v>657</v>
      </c>
      <c r="C74" s="1213" t="s">
        <v>659</v>
      </c>
      <c r="D74" s="476">
        <v>5253451.0211356161</v>
      </c>
      <c r="E74" s="476">
        <v>5408957.2583593233</v>
      </c>
    </row>
    <row r="75" spans="1:6">
      <c r="A75" s="348" t="s">
        <v>65</v>
      </c>
      <c r="B75" s="348" t="s">
        <v>656</v>
      </c>
      <c r="C75" s="1213" t="s">
        <v>660</v>
      </c>
      <c r="D75" s="476">
        <v>7610127</v>
      </c>
      <c r="E75" s="476">
        <v>7730316.9779997375</v>
      </c>
    </row>
    <row r="76" spans="1:6">
      <c r="A76" s="348" t="s">
        <v>65</v>
      </c>
      <c r="B76" s="348" t="s">
        <v>657</v>
      </c>
      <c r="C76" s="1213" t="s">
        <v>661</v>
      </c>
      <c r="D76" s="476">
        <v>7089.1</v>
      </c>
      <c r="E76" s="476">
        <v>7310.0313994249491</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327439.95772876818</v>
      </c>
      <c r="C83" s="476">
        <v>328881.09874124674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4278.5015080545991</v>
      </c>
    </row>
    <row r="92" spans="1:6">
      <c r="A92" s="341" t="s">
        <v>69</v>
      </c>
      <c r="B92" s="342">
        <v>1483.0486407993237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965</v>
      </c>
    </row>
    <row r="98" spans="1:6">
      <c r="A98" s="348" t="s">
        <v>72</v>
      </c>
      <c r="B98" s="334">
        <v>9</v>
      </c>
    </row>
    <row r="99" spans="1:6">
      <c r="A99" s="348" t="s">
        <v>73</v>
      </c>
      <c r="B99" s="334">
        <v>171</v>
      </c>
    </row>
    <row r="100" spans="1:6">
      <c r="A100" s="348" t="s">
        <v>74</v>
      </c>
      <c r="B100" s="334">
        <v>225</v>
      </c>
    </row>
    <row r="101" spans="1:6">
      <c r="A101" s="348" t="s">
        <v>75</v>
      </c>
      <c r="B101" s="334">
        <v>147</v>
      </c>
    </row>
    <row r="102" spans="1:6">
      <c r="A102" s="348" t="s">
        <v>76</v>
      </c>
      <c r="B102" s="334">
        <v>58</v>
      </c>
    </row>
    <row r="103" spans="1:6">
      <c r="A103" s="348" t="s">
        <v>77</v>
      </c>
      <c r="B103" s="334">
        <v>167</v>
      </c>
    </row>
    <row r="104" spans="1:6">
      <c r="A104" s="348" t="s">
        <v>78</v>
      </c>
      <c r="B104" s="334">
        <v>3520</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37</v>
      </c>
      <c r="C123" s="334">
        <v>45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136</v>
      </c>
    </row>
    <row r="130" spans="1:6">
      <c r="A130" s="348" t="s">
        <v>295</v>
      </c>
      <c r="B130" s="334">
        <v>1</v>
      </c>
    </row>
    <row r="131" spans="1:6">
      <c r="A131" s="348" t="s">
        <v>296</v>
      </c>
      <c r="B131" s="334">
        <v>1</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43787.616578140514</v>
      </c>
      <c r="C3" s="43" t="s">
        <v>170</v>
      </c>
      <c r="D3" s="43"/>
      <c r="E3" s="154"/>
      <c r="F3" s="43"/>
      <c r="G3" s="43"/>
      <c r="H3" s="43"/>
      <c r="I3" s="43"/>
      <c r="J3" s="43"/>
      <c r="K3" s="96"/>
    </row>
    <row r="4" spans="1:11">
      <c r="A4" s="383" t="s">
        <v>171</v>
      </c>
      <c r="B4" s="49">
        <f>IF(ISERROR('SEAP template'!B69),0,'SEAP template'!B69)</f>
        <v>27462.650148853922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1745.2800000000002</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0.12225140346060057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2493.2571428571437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29085.857142857145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8.5720600586441154E-2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733.15599999999995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733.15599999999995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0.12225140346060057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89.629349955560059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21589.327234611999</v>
      </c>
      <c r="C5" s="17">
        <f>IF(ISERROR('Eigen informatie GS &amp; warmtenet'!B57),0,'Eigen informatie GS &amp; warmtenet'!B57)</f>
        <v>0</v>
      </c>
      <c r="D5" s="30">
        <f>(SUM(HH_hh_gas_kWh,HH_rest_gas_kWh)/1000)*0.902</f>
        <v>32250.595772498778</v>
      </c>
      <c r="E5" s="17">
        <f>B46*B57</f>
        <v>8761.5905467966822</v>
      </c>
      <c r="F5" s="17">
        <f>B51*B62</f>
        <v>62165.542712218929</v>
      </c>
      <c r="G5" s="18"/>
      <c r="H5" s="17"/>
      <c r="I5" s="17"/>
      <c r="J5" s="17">
        <f>B50*B61+C50*C61</f>
        <v>1505.6159615140577</v>
      </c>
      <c r="K5" s="17"/>
      <c r="L5" s="17"/>
      <c r="M5" s="17"/>
      <c r="N5" s="17">
        <f>B48*B59+C48*C59</f>
        <v>25668.284603015192</v>
      </c>
      <c r="O5" s="17">
        <f>B69*B70*B71</f>
        <v>282.96333333333337</v>
      </c>
      <c r="P5" s="17">
        <f>B77*B78*B79/1000-B77*B78*B79/1000/B80</f>
        <v>1372.8</v>
      </c>
    </row>
    <row r="6" spans="1:16">
      <c r="A6" s="16" t="s">
        <v>621</v>
      </c>
      <c r="B6" s="843">
        <f>kWh_PV_kleiner_dan_10kW</f>
        <v>4278.5015080545991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25867.828742666599</v>
      </c>
      <c r="C8" s="21">
        <f>C5</f>
        <v>0</v>
      </c>
      <c r="D8" s="21">
        <f>D5</f>
        <v>32250.595772498778</v>
      </c>
      <c r="E8" s="21">
        <f>E5</f>
        <v>8761.5905467966822</v>
      </c>
      <c r="F8" s="21">
        <f>F5</f>
        <v>62165.542712218929</v>
      </c>
      <c r="G8" s="21"/>
      <c r="H8" s="21"/>
      <c r="I8" s="21"/>
      <c r="J8" s="21">
        <f>J5</f>
        <v>1505.6159615140577</v>
      </c>
      <c r="K8" s="21"/>
      <c r="L8" s="21">
        <f>L5</f>
        <v>0</v>
      </c>
      <c r="M8" s="21">
        <f>M5</f>
        <v>0</v>
      </c>
      <c r="N8" s="21">
        <f>N5</f>
        <v>25668.284603015192</v>
      </c>
      <c r="O8" s="21">
        <f>O5</f>
        <v>282.96333333333337</v>
      </c>
      <c r="P8" s="21">
        <f>P5</f>
        <v>1372.8</v>
      </c>
    </row>
    <row r="9" spans="1:16">
      <c r="B9" s="19"/>
      <c r="C9" s="19"/>
      <c r="D9" s="258"/>
      <c r="E9" s="19"/>
      <c r="F9" s="19"/>
      <c r="G9" s="19"/>
      <c r="H9" s="19"/>
      <c r="I9" s="19"/>
      <c r="J9" s="19"/>
      <c r="K9" s="19"/>
      <c r="L9" s="19"/>
      <c r="M9" s="19"/>
      <c r="N9" s="19"/>
      <c r="O9" s="19"/>
      <c r="P9" s="19"/>
    </row>
    <row r="10" spans="1:16">
      <c r="A10" s="24" t="s">
        <v>214</v>
      </c>
      <c r="B10" s="25">
        <f ca="1">'EF ele_warmte'!B12</f>
        <v>0.12225140346060057</v>
      </c>
      <c r="C10" s="25">
        <f ca="1">'EF ele_warmte'!B22</f>
        <v>8.5720600586441154E-2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3162.3783682694543</v>
      </c>
      <c r="C12" s="23">
        <f ca="1">C10*C8</f>
        <v>0</v>
      </c>
      <c r="D12" s="23">
        <f>D8*D10</f>
        <v>6514.6203460447532</v>
      </c>
      <c r="E12" s="23">
        <f>E10*E8</f>
        <v>1988.881054122847</v>
      </c>
      <c r="F12" s="23">
        <f>F10*F8</f>
        <v>16598.199904162455</v>
      </c>
      <c r="G12" s="23"/>
      <c r="H12" s="23"/>
      <c r="I12" s="23"/>
      <c r="J12" s="23">
        <f>J10*J8</f>
        <v>532.9880503759764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965</v>
      </c>
      <c r="C18" s="166" t="s">
        <v>111</v>
      </c>
      <c r="D18" s="228"/>
      <c r="E18" s="15"/>
    </row>
    <row r="19" spans="1:7">
      <c r="A19" s="171" t="s">
        <v>72</v>
      </c>
      <c r="B19" s="37">
        <f>aantalw2001_ander</f>
        <v>9</v>
      </c>
      <c r="C19" s="166" t="s">
        <v>111</v>
      </c>
      <c r="D19" s="229"/>
      <c r="E19" s="15"/>
    </row>
    <row r="20" spans="1:7">
      <c r="A20" s="171" t="s">
        <v>73</v>
      </c>
      <c r="B20" s="37">
        <f>aantalw2001_propaan</f>
        <v>171</v>
      </c>
      <c r="C20" s="167">
        <f>IF(ISERROR(B20/SUM($B$20,$B$21,$B$22)*100),0,B20/SUM($B$20,$B$21,$B$22)*100)</f>
        <v>31.491712707182316</v>
      </c>
      <c r="D20" s="229"/>
      <c r="E20" s="15"/>
    </row>
    <row r="21" spans="1:7">
      <c r="A21" s="171" t="s">
        <v>74</v>
      </c>
      <c r="B21" s="37">
        <f>aantalw2001_elektriciteit</f>
        <v>225</v>
      </c>
      <c r="C21" s="167">
        <f>IF(ISERROR(B21/SUM($B$20,$B$21,$B$22)*100),0,B21/SUM($B$20,$B$21,$B$22)*100)</f>
        <v>41.436464088397791</v>
      </c>
      <c r="D21" s="229"/>
      <c r="E21" s="15"/>
    </row>
    <row r="22" spans="1:7">
      <c r="A22" s="171" t="s">
        <v>75</v>
      </c>
      <c r="B22" s="37">
        <f>aantalw2001_hout</f>
        <v>147</v>
      </c>
      <c r="C22" s="167">
        <f>IF(ISERROR(B22/SUM($B$20,$B$21,$B$22)*100),0,B22/SUM($B$20,$B$21,$B$22)*100)</f>
        <v>27.071823204419886</v>
      </c>
      <c r="D22" s="229"/>
      <c r="E22" s="15"/>
    </row>
    <row r="23" spans="1:7">
      <c r="A23" s="171" t="s">
        <v>76</v>
      </c>
      <c r="B23" s="37">
        <f>aantalw2001_niet_gespec</f>
        <v>58</v>
      </c>
      <c r="C23" s="166" t="s">
        <v>111</v>
      </c>
      <c r="D23" s="228"/>
      <c r="E23" s="15"/>
    </row>
    <row r="24" spans="1:7">
      <c r="A24" s="171" t="s">
        <v>77</v>
      </c>
      <c r="B24" s="37">
        <f>aantalw2001_steenkool</f>
        <v>167</v>
      </c>
      <c r="C24" s="166" t="s">
        <v>111</v>
      </c>
      <c r="D24" s="229"/>
      <c r="E24" s="15"/>
    </row>
    <row r="25" spans="1:7">
      <c r="A25" s="171" t="s">
        <v>78</v>
      </c>
      <c r="B25" s="37">
        <f>aantalw2001_stookolie</f>
        <v>3520</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6038</v>
      </c>
      <c r="C28" s="36"/>
      <c r="D28" s="228"/>
    </row>
    <row r="29" spans="1:7" s="15" customFormat="1">
      <c r="A29" s="230" t="s">
        <v>795</v>
      </c>
      <c r="B29" s="37">
        <f>SUM(HH_hh_gas_aantal,HH_rest_gas_aantal)</f>
        <v>2208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2208</v>
      </c>
      <c r="C32" s="167">
        <f>IF(ISERROR(B32/SUM($B$32,$B$34,$B$35,$B$36,$B$38,$B$39)*100),0,B32/SUM($B$32,$B$34,$B$35,$B$36,$B$38,$B$39)*100)</f>
        <v>37.009721756620849</v>
      </c>
      <c r="D32" s="233"/>
      <c r="G32" s="15"/>
    </row>
    <row r="33" spans="1:7">
      <c r="A33" s="171" t="s">
        <v>72</v>
      </c>
      <c r="B33" s="34" t="s">
        <v>111</v>
      </c>
      <c r="C33" s="167"/>
      <c r="D33" s="233"/>
      <c r="G33" s="15"/>
    </row>
    <row r="34" spans="1:7">
      <c r="A34" s="171" t="s">
        <v>73</v>
      </c>
      <c r="B34" s="33">
        <f>IF((($B$28-$B$32-$B$39-$B$77-$B$38)*C20/100)&lt;0,0,($B$28-$B$32-$B$39-$B$77-$B$38)*C20/100)</f>
        <v>413.80110497237553</v>
      </c>
      <c r="C34" s="167">
        <f>IF(ISERROR(B34/SUM($B$32,$B$34,$B$35,$B$36,$B$38,$B$39)*100),0,B34/SUM($B$32,$B$34,$B$35,$B$36,$B$38,$B$39)*100)</f>
        <v>6.9359890206566464</v>
      </c>
      <c r="D34" s="233"/>
      <c r="G34" s="15"/>
    </row>
    <row r="35" spans="1:7">
      <c r="A35" s="171" t="s">
        <v>74</v>
      </c>
      <c r="B35" s="33">
        <f>IF((($B$28-$B$32-$B$39-$B$77-$B$38)*C21/100)&lt;0,0,($B$28-$B$32-$B$39-$B$77-$B$38)*C21/100)</f>
        <v>544.47513812154693</v>
      </c>
      <c r="C35" s="167">
        <f>IF(ISERROR(B35/SUM($B$32,$B$34,$B$35,$B$36,$B$38,$B$39)*100),0,B35/SUM($B$32,$B$34,$B$35,$B$36,$B$38,$B$39)*100)</f>
        <v>9.1263013429692741</v>
      </c>
      <c r="D35" s="233"/>
      <c r="G35" s="15"/>
    </row>
    <row r="36" spans="1:7">
      <c r="A36" s="171" t="s">
        <v>75</v>
      </c>
      <c r="B36" s="33">
        <f>IF((($B$28-$B$32-$B$39-$B$77-$B$38)*C22/100)&lt;0,0,($B$28-$B$32-$B$39-$B$77-$B$38)*C22/100)</f>
        <v>355.72375690607726</v>
      </c>
      <c r="C36" s="167">
        <f>IF(ISERROR(B36/SUM($B$32,$B$34,$B$35,$B$36,$B$38,$B$39)*100),0,B36/SUM($B$32,$B$34,$B$35,$B$36,$B$38,$B$39)*100)</f>
        <v>5.9625168774065918</v>
      </c>
      <c r="D36" s="233"/>
      <c r="G36" s="15"/>
    </row>
    <row r="37" spans="1:7">
      <c r="A37" s="171" t="s">
        <v>76</v>
      </c>
      <c r="B37" s="34" t="s">
        <v>111</v>
      </c>
      <c r="C37" s="167"/>
      <c r="D37" s="173"/>
      <c r="G37" s="15"/>
    </row>
    <row r="38" spans="1:7">
      <c r="A38" s="171" t="s">
        <v>77</v>
      </c>
      <c r="B38" s="33">
        <f>IF((B24-(B29-B18)*0.1)&lt;0,0,B24-(B29-B18)*0.1)</f>
        <v>42.699999999999989</v>
      </c>
      <c r="C38" s="167">
        <f>IF(ISERROR(B38/SUM($B$32,$B$34,$B$35,$B$36,$B$38,$B$39)*100),0,B38/SUM($B$32,$B$34,$B$35,$B$36,$B$38,$B$39)*100)</f>
        <v>0.71572242708682521</v>
      </c>
      <c r="D38" s="234"/>
      <c r="G38" s="15"/>
    </row>
    <row r="39" spans="1:7">
      <c r="A39" s="171" t="s">
        <v>78</v>
      </c>
      <c r="B39" s="33">
        <f>IF((B25-(B29-B18))&lt;0,0,B25-(B29-B18)*0.9)</f>
        <v>2401.3000000000002</v>
      </c>
      <c r="C39" s="167">
        <f>IF(ISERROR(B39/SUM($B$32,$B$34,$B$35,$B$36,$B$38,$B$39)*100),0,B39/SUM($B$32,$B$34,$B$35,$B$36,$B$38,$B$39)*100)</f>
        <v>40.249748575259808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2208</v>
      </c>
      <c r="C44" s="34" t="s">
        <v>111</v>
      </c>
      <c r="D44" s="174"/>
    </row>
    <row r="45" spans="1:7">
      <c r="A45" s="171" t="s">
        <v>72</v>
      </c>
      <c r="B45" s="33" t="str">
        <f t="shared" si="0"/>
        <v>-</v>
      </c>
      <c r="C45" s="34" t="s">
        <v>111</v>
      </c>
      <c r="D45" s="174"/>
    </row>
    <row r="46" spans="1:7">
      <c r="A46" s="171" t="s">
        <v>73</v>
      </c>
      <c r="B46" s="33">
        <f t="shared" si="0"/>
        <v>413.80110497237553</v>
      </c>
      <c r="C46" s="34" t="s">
        <v>111</v>
      </c>
      <c r="D46" s="174"/>
    </row>
    <row r="47" spans="1:7">
      <c r="A47" s="171" t="s">
        <v>74</v>
      </c>
      <c r="B47" s="33">
        <f t="shared" si="0"/>
        <v>544.47513812154693</v>
      </c>
      <c r="C47" s="34" t="s">
        <v>111</v>
      </c>
      <c r="D47" s="174"/>
    </row>
    <row r="48" spans="1:7">
      <c r="A48" s="171" t="s">
        <v>75</v>
      </c>
      <c r="B48" s="33">
        <f t="shared" si="0"/>
        <v>355.72375690607726</v>
      </c>
      <c r="C48" s="33">
        <f>B48*10</f>
        <v>3557.2375690607723</v>
      </c>
      <c r="D48" s="234"/>
    </row>
    <row r="49" spans="1:6">
      <c r="A49" s="171" t="s">
        <v>76</v>
      </c>
      <c r="B49" s="33" t="str">
        <f t="shared" si="0"/>
        <v>-</v>
      </c>
      <c r="C49" s="34" t="s">
        <v>111</v>
      </c>
      <c r="D49" s="234"/>
    </row>
    <row r="50" spans="1:6">
      <c r="A50" s="171" t="s">
        <v>77</v>
      </c>
      <c r="B50" s="33">
        <f t="shared" si="0"/>
        <v>42.699999999999989</v>
      </c>
      <c r="C50" s="33">
        <f>B50*2</f>
        <v>85.399999999999977</v>
      </c>
      <c r="D50" s="234"/>
    </row>
    <row r="51" spans="1:6">
      <c r="A51" s="171" t="s">
        <v>78</v>
      </c>
      <c r="B51" s="33">
        <f t="shared" si="0"/>
        <v>2401.3000000000002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12492.655891293296</v>
      </c>
      <c r="C5" s="17">
        <f>IF(ISERROR('Eigen informatie GS &amp; warmtenet'!B58),0,'Eigen informatie GS &amp; warmtenet'!B58)</f>
        <v>0</v>
      </c>
      <c r="D5" s="30">
        <f>SUM(D6:D12)</f>
        <v>10046.451946976978</v>
      </c>
      <c r="E5" s="17">
        <f>SUM(E6:E12)</f>
        <v>174.42456973523568</v>
      </c>
      <c r="F5" s="17">
        <f>SUM(F6:F12)</f>
        <v>2167.965187082857</v>
      </c>
      <c r="G5" s="18"/>
      <c r="H5" s="17"/>
      <c r="I5" s="17"/>
      <c r="J5" s="17">
        <f>SUM(J6:J12)</f>
        <v>3.0122948959497155E-2</v>
      </c>
      <c r="K5" s="17"/>
      <c r="L5" s="17"/>
      <c r="M5" s="17"/>
      <c r="N5" s="17">
        <f>SUM(N6:N12)</f>
        <v>1195.1501722273154</v>
      </c>
      <c r="O5" s="17">
        <f>B38*B39*B40</f>
        <v>1.5633333333333335</v>
      </c>
      <c r="P5" s="17">
        <f>B46*B47*B48/1000-B46*B47*B48/1000/B49</f>
        <v>19.066666666666666</v>
      </c>
      <c r="R5" s="32"/>
    </row>
    <row r="6" spans="1:18">
      <c r="A6" s="32" t="s">
        <v>54</v>
      </c>
      <c r="B6" s="37">
        <f>B26</f>
        <v>4374.8048681809796</v>
      </c>
      <c r="C6" s="33"/>
      <c r="D6" s="37">
        <f>IF(ISERROR(TER_kantoor_gas_kWh/1000),0,TER_kantoor_gas_kWh/1000)*0.902</f>
        <v>1382.3158482241402</v>
      </c>
      <c r="E6" s="33">
        <f>$C$26*'E Balans VL '!I12/100/3.6*1000000</f>
        <v>2.7419821876454437E-2</v>
      </c>
      <c r="F6" s="33">
        <f>$C$26*('E Balans VL '!L12+'E Balans VL '!N12)/100/3.6*1000000</f>
        <v>657.41092798074192</v>
      </c>
      <c r="G6" s="34"/>
      <c r="H6" s="33"/>
      <c r="I6" s="33"/>
      <c r="J6" s="33">
        <f>$C$26*('E Balans VL '!D12+'E Balans VL '!E12)/100/3.6*1000000</f>
        <v>0</v>
      </c>
      <c r="K6" s="33"/>
      <c r="L6" s="33"/>
      <c r="M6" s="33"/>
      <c r="N6" s="33">
        <f>$C$26*'E Balans VL '!Y12/100/3.6*1000000</f>
        <v>4.1838522204093831</v>
      </c>
      <c r="O6" s="33"/>
      <c r="P6" s="33"/>
      <c r="R6" s="32"/>
    </row>
    <row r="7" spans="1:18">
      <c r="A7" s="32" t="s">
        <v>53</v>
      </c>
      <c r="B7" s="37">
        <f t="shared" ref="B7:B12" si="0">B27</f>
        <v>1476.49829525018</v>
      </c>
      <c r="C7" s="33"/>
      <c r="D7" s="37">
        <f>IF(ISERROR(TER_horeca_gas_kWh/1000),0,TER_horeca_gas_kWh/1000)*0.902</f>
        <v>975.42211909957496</v>
      </c>
      <c r="E7" s="33">
        <f>$C$27*'E Balans VL '!I9/100/3.6*1000000</f>
        <v>21.143209650315626</v>
      </c>
      <c r="F7" s="33">
        <f>$C$27*('E Balans VL '!L9+'E Balans VL '!N9)/100/3.6*1000000</f>
        <v>186.97338096853608</v>
      </c>
      <c r="G7" s="34"/>
      <c r="H7" s="33"/>
      <c r="I7" s="33"/>
      <c r="J7" s="33">
        <f>$C$27*('E Balans VL '!D9+'E Balans VL '!E9)/100/3.6*1000000</f>
        <v>0</v>
      </c>
      <c r="K7" s="33"/>
      <c r="L7" s="33"/>
      <c r="M7" s="33"/>
      <c r="N7" s="33">
        <f>$C$27*'E Balans VL '!Y9/100/3.6*1000000</f>
        <v>0.42446070589144042</v>
      </c>
      <c r="O7" s="33"/>
      <c r="P7" s="33"/>
      <c r="R7" s="32"/>
    </row>
    <row r="8" spans="1:18">
      <c r="A8" s="6" t="s">
        <v>52</v>
      </c>
      <c r="B8" s="37">
        <f t="shared" si="0"/>
        <v>3666.1988006765496</v>
      </c>
      <c r="C8" s="33"/>
      <c r="D8" s="37">
        <f>IF(ISERROR(TER_handel_gas_kWh/1000),0,TER_handel_gas_kWh/1000)*0.902</f>
        <v>1043.3161606716303</v>
      </c>
      <c r="E8" s="33">
        <f>$C$28*'E Balans VL '!I13/100/3.6*1000000</f>
        <v>132.97257840515692</v>
      </c>
      <c r="F8" s="33">
        <f>$C$28*('E Balans VL '!L13+'E Balans VL '!N13)/100/3.6*1000000</f>
        <v>706.14701163334291</v>
      </c>
      <c r="G8" s="34"/>
      <c r="H8" s="33"/>
      <c r="I8" s="33"/>
      <c r="J8" s="33">
        <f>$C$28*('E Balans VL '!D13+'E Balans VL '!E13)/100/3.6*1000000</f>
        <v>0</v>
      </c>
      <c r="K8" s="33"/>
      <c r="L8" s="33"/>
      <c r="M8" s="33"/>
      <c r="N8" s="33">
        <f>$C$28*'E Balans VL '!Y13/100/3.6*1000000</f>
        <v>5.0785288936596436</v>
      </c>
      <c r="O8" s="33"/>
      <c r="P8" s="33"/>
      <c r="R8" s="32"/>
    </row>
    <row r="9" spans="1:18">
      <c r="A9" s="32" t="s">
        <v>51</v>
      </c>
      <c r="B9" s="37">
        <f t="shared" si="0"/>
        <v>246.71622430708101</v>
      </c>
      <c r="C9" s="33"/>
      <c r="D9" s="37">
        <f>IF(ISERROR(TER_gezond_gas_kWh/1000),0,TER_gezond_gas_kWh/1000)*0.902</f>
        <v>55.330425772212081</v>
      </c>
      <c r="E9" s="33">
        <f>$C$29*'E Balans VL '!I10/100/3.6*1000000</f>
        <v>1.5446871524270657E-2</v>
      </c>
      <c r="F9" s="33">
        <f>$C$29*('E Balans VL '!L10+'E Balans VL '!N10)/100/3.6*1000000</f>
        <v>36.650446300181358</v>
      </c>
      <c r="G9" s="34"/>
      <c r="H9" s="33"/>
      <c r="I9" s="33"/>
      <c r="J9" s="33">
        <f>$C$29*('E Balans VL '!D10+'E Balans VL '!E10)/100/3.6*1000000</f>
        <v>0</v>
      </c>
      <c r="K9" s="33"/>
      <c r="L9" s="33"/>
      <c r="M9" s="33"/>
      <c r="N9" s="33">
        <f>$C$29*'E Balans VL '!Y10/100/3.6*1000000</f>
        <v>3.8162303636626271</v>
      </c>
      <c r="O9" s="33"/>
      <c r="P9" s="33"/>
      <c r="R9" s="32"/>
    </row>
    <row r="10" spans="1:18">
      <c r="A10" s="32" t="s">
        <v>50</v>
      </c>
      <c r="B10" s="37">
        <f t="shared" si="0"/>
        <v>1226.7353749033398</v>
      </c>
      <c r="C10" s="33"/>
      <c r="D10" s="37">
        <f>IF(ISERROR(TER_ander_gas_kWh/1000),0,TER_ander_gas_kWh/1000)*0.902</f>
        <v>684.40539608802294</v>
      </c>
      <c r="E10" s="33">
        <f>$C$30*'E Balans VL '!I14/100/3.6*1000000</f>
        <v>1.462224730769484</v>
      </c>
      <c r="F10" s="33">
        <f>$C$30*('E Balans VL '!L14+'E Balans VL '!N14)/100/3.6*1000000</f>
        <v>320.96851044602386</v>
      </c>
      <c r="G10" s="34"/>
      <c r="H10" s="33"/>
      <c r="I10" s="33"/>
      <c r="J10" s="33">
        <f>$C$30*('E Balans VL '!D14+'E Balans VL '!E14)/100/3.6*1000000</f>
        <v>2.6627616319258685E-2</v>
      </c>
      <c r="K10" s="33"/>
      <c r="L10" s="33"/>
      <c r="M10" s="33"/>
      <c r="N10" s="33">
        <f>$C$30*'E Balans VL '!Y14/100/3.6*1000000</f>
        <v>1041.7136625758226</v>
      </c>
      <c r="O10" s="33"/>
      <c r="P10" s="33"/>
      <c r="R10" s="32"/>
    </row>
    <row r="11" spans="1:18">
      <c r="A11" s="32" t="s">
        <v>55</v>
      </c>
      <c r="B11" s="37">
        <f t="shared" si="0"/>
        <v>58.2597457849661</v>
      </c>
      <c r="C11" s="33"/>
      <c r="D11" s="37">
        <f>IF(ISERROR(TER_onderwijs_gas_kWh/1000),0,TER_onderwijs_gas_kWh/1000)*0.902</f>
        <v>129.72050244940675</v>
      </c>
      <c r="E11" s="33">
        <f>$C$31*'E Balans VL '!I11/100/3.6*1000000</f>
        <v>0.87904572765169209</v>
      </c>
      <c r="F11" s="33">
        <f>$C$31*('E Balans VL '!L11+'E Balans VL '!N11)/100/3.6*1000000</f>
        <v>10.208038188653797</v>
      </c>
      <c r="G11" s="34"/>
      <c r="H11" s="33"/>
      <c r="I11" s="33"/>
      <c r="J11" s="33">
        <f>$C$31*('E Balans VL '!D11+'E Balans VL '!E11)/100/3.6*1000000</f>
        <v>0</v>
      </c>
      <c r="K11" s="33"/>
      <c r="L11" s="33"/>
      <c r="M11" s="33"/>
      <c r="N11" s="33">
        <f>$C$31*'E Balans VL '!Y11/100/3.6*1000000</f>
        <v>0.16394735371343663</v>
      </c>
      <c r="O11" s="33"/>
      <c r="P11" s="33"/>
      <c r="R11" s="32"/>
    </row>
    <row r="12" spans="1:18">
      <c r="A12" s="32" t="s">
        <v>260</v>
      </c>
      <c r="B12" s="37">
        <f t="shared" si="0"/>
        <v>1443.4425821902</v>
      </c>
      <c r="C12" s="33"/>
      <c r="D12" s="37">
        <f>IF(ISERROR(TER_rest_gas_kWh/1000),0,TER_rest_gas_kWh/1000)*0.902</f>
        <v>5775.9414946719908</v>
      </c>
      <c r="E12" s="33">
        <f>$C$32*'E Balans VL '!I8/100/3.6*1000000</f>
        <v>17.924644527941233</v>
      </c>
      <c r="F12" s="33">
        <f>$C$32*('E Balans VL '!L8+'E Balans VL '!N8)/100/3.6*1000000</f>
        <v>249.60687156537693</v>
      </c>
      <c r="G12" s="34"/>
      <c r="H12" s="33"/>
      <c r="I12" s="33"/>
      <c r="J12" s="33">
        <f>$C$32*('E Balans VL '!D8+'E Balans VL '!E8)/100/3.6*1000000</f>
        <v>3.4953326402384689E-3</v>
      </c>
      <c r="K12" s="33"/>
      <c r="L12" s="33"/>
      <c r="M12" s="33"/>
      <c r="N12" s="33">
        <f>$C$32*'E Balans VL '!Y8/100/3.6*1000000</f>
        <v>139.76949011415635</v>
      </c>
      <c r="O12" s="33"/>
      <c r="P12" s="33"/>
      <c r="R12" s="32"/>
    </row>
    <row r="13" spans="1:18">
      <c r="A13" s="16" t="s">
        <v>488</v>
      </c>
      <c r="B13" s="247">
        <f ca="1">'lokale energieproductie'!N90+'lokale energieproductie'!N59</f>
        <v>1656</v>
      </c>
      <c r="C13" s="247">
        <f ca="1">'lokale energieproductie'!O90+'lokale energieproductie'!O59</f>
        <v>450.00000000000011</v>
      </c>
      <c r="D13" s="310">
        <f ca="1">('lokale energieproductie'!P59+'lokale energieproductie'!P90)*(-1)</f>
        <v>-900.00000000000023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-3831.4285714285716</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14148.655891293296</v>
      </c>
      <c r="C16" s="21">
        <f t="shared" ca="1" si="1"/>
        <v>450.00000000000011</v>
      </c>
      <c r="D16" s="21">
        <f t="shared" ca="1" si="1"/>
        <v>9146.4519469769784</v>
      </c>
      <c r="E16" s="21">
        <f t="shared" si="1"/>
        <v>174.42456973523568</v>
      </c>
      <c r="F16" s="21">
        <f t="shared" ca="1" si="1"/>
        <v>2167.965187082857</v>
      </c>
      <c r="G16" s="21">
        <f t="shared" si="1"/>
        <v>0</v>
      </c>
      <c r="H16" s="21">
        <f t="shared" si="1"/>
        <v>0</v>
      </c>
      <c r="I16" s="21">
        <f t="shared" si="1"/>
        <v>0</v>
      </c>
      <c r="J16" s="21">
        <f t="shared" si="1"/>
        <v>3.0122948959497155E-2</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0.12225140346060057</v>
      </c>
      <c r="C18" s="25">
        <f ca="1">'EF ele_warmte'!B22</f>
        <v>8.5720600586441154E-2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1729.6930397916999</v>
      </c>
      <c r="C20" s="23">
        <f t="shared" ref="C20:P20" ca="1" si="2">C16*C18</f>
        <v>38.574270263898526</v>
      </c>
      <c r="D20" s="23">
        <f t="shared" ca="1" si="2"/>
        <v>1847.5832932893497</v>
      </c>
      <c r="E20" s="23">
        <f t="shared" si="2"/>
        <v>39.594377329898499</v>
      </c>
      <c r="F20" s="23">
        <f t="shared" ca="1" si="2"/>
        <v>578.84670495112289</v>
      </c>
      <c r="G20" s="23">
        <f t="shared" si="2"/>
        <v>0</v>
      </c>
      <c r="H20" s="23">
        <f t="shared" si="2"/>
        <v>0</v>
      </c>
      <c r="I20" s="23">
        <f t="shared" si="2"/>
        <v>0</v>
      </c>
      <c r="J20" s="23">
        <f t="shared" si="2"/>
        <v>1.0663523931661992E-2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4374.8048681809796</v>
      </c>
      <c r="C26" s="39">
        <f>IF(ISERROR(B26*3.6/1000000/'E Balans VL '!Z12*100),0,B26*3.6/1000000/'E Balans VL '!Z12*100)</f>
        <v>9.2476444662643237E-2</v>
      </c>
      <c r="D26" s="237" t="s">
        <v>754</v>
      </c>
      <c r="F26" s="6"/>
    </row>
    <row r="27" spans="1:18">
      <c r="A27" s="231" t="s">
        <v>53</v>
      </c>
      <c r="B27" s="33">
        <f>IF(ISERROR(TER_horeca_ele_kWh/1000),0,TER_horeca_ele_kWh/1000)</f>
        <v>1476.49829525018</v>
      </c>
      <c r="C27" s="39">
        <f>IF(ISERROR(B27*3.6/1000000/'E Balans VL '!Z9*100),0,B27*3.6/1000000/'E Balans VL '!Z9*100)</f>
        <v>0.11639181029556227</v>
      </c>
      <c r="D27" s="237" t="s">
        <v>754</v>
      </c>
      <c r="F27" s="6"/>
    </row>
    <row r="28" spans="1:18">
      <c r="A28" s="171" t="s">
        <v>52</v>
      </c>
      <c r="B28" s="33">
        <f>IF(ISERROR(TER_handel_ele_kWh/1000),0,TER_handel_ele_kWh/1000)</f>
        <v>3666.1988006765496</v>
      </c>
      <c r="C28" s="39">
        <f>IF(ISERROR(B28*3.6/1000000/'E Balans VL '!Z13*100),0,B28*3.6/1000000/'E Balans VL '!Z13*100)</f>
        <v>0.10640790229868681</v>
      </c>
      <c r="D28" s="237" t="s">
        <v>754</v>
      </c>
      <c r="F28" s="6"/>
    </row>
    <row r="29" spans="1:18">
      <c r="A29" s="231" t="s">
        <v>51</v>
      </c>
      <c r="B29" s="33">
        <f>IF(ISERROR(TER_gezond_ele_kWh/1000),0,TER_gezond_ele_kWh/1000)</f>
        <v>246.71622430708101</v>
      </c>
      <c r="C29" s="39">
        <f>IF(ISERROR(B29*3.6/1000000/'E Balans VL '!Z10*100),0,B29*3.6/1000000/'E Balans VL '!Z10*100)</f>
        <v>2.5983269606874439E-2</v>
      </c>
      <c r="D29" s="237" t="s">
        <v>754</v>
      </c>
      <c r="F29" s="6"/>
    </row>
    <row r="30" spans="1:18">
      <c r="A30" s="231" t="s">
        <v>50</v>
      </c>
      <c r="B30" s="33">
        <f>IF(ISERROR(TER_ander_ele_kWh/1000),0,TER_ander_ele_kWh/1000)</f>
        <v>1226.7353749033398</v>
      </c>
      <c r="C30" s="39">
        <f>IF(ISERROR(B30*3.6/1000000/'E Balans VL '!Z14*100),0,B30*3.6/1000000/'E Balans VL '!Z14*100)</f>
        <v>9.0484267698468374E-2</v>
      </c>
      <c r="D30" s="237" t="s">
        <v>754</v>
      </c>
      <c r="F30" s="6"/>
    </row>
    <row r="31" spans="1:18">
      <c r="A31" s="231" t="s">
        <v>55</v>
      </c>
      <c r="B31" s="33">
        <f>IF(ISERROR(TER_onderwijs_ele_kWh/1000),0,TER_onderwijs_ele_kWh/1000)</f>
        <v>58.2597457849661</v>
      </c>
      <c r="C31" s="39">
        <f>IF(ISERROR(B31*3.6/1000000/'E Balans VL '!Z11*100),0,B31*3.6/1000000/'E Balans VL '!Z11*100)</f>
        <v>1.4468623925618861E-2</v>
      </c>
      <c r="D31" s="237" t="s">
        <v>754</v>
      </c>
    </row>
    <row r="32" spans="1:18">
      <c r="A32" s="231" t="s">
        <v>260</v>
      </c>
      <c r="B32" s="33">
        <f>IF(ISERROR(TER_rest_ele_kWh/1000),0,TER_rest_ele_kWh/1000)</f>
        <v>1443.4425821902</v>
      </c>
      <c r="C32" s="39">
        <f>IF(ISERROR(B32*3.6/1000000/'E Balans VL '!Z8*100),0,B32*3.6/1000000/'E Balans VL '!Z8*100)</f>
        <v>1.1877616476161429E-2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1656.4314650481695</v>
      </c>
      <c r="C5" s="17">
        <f>IF(ISERROR('Eigen informatie GS &amp; warmtenet'!B59),0,'Eigen informatie GS &amp; warmtenet'!B59)</f>
        <v>0</v>
      </c>
      <c r="D5" s="30">
        <f>SUM(D6:D15)</f>
        <v>7189.2538235023967</v>
      </c>
      <c r="E5" s="17">
        <f>SUM(E6:E15)</f>
        <v>280.00847424299263</v>
      </c>
      <c r="F5" s="17">
        <f>SUM(F6:F15)</f>
        <v>811.04830274208518</v>
      </c>
      <c r="G5" s="18"/>
      <c r="H5" s="17"/>
      <c r="I5" s="17"/>
      <c r="J5" s="17">
        <f>SUM(J6:J15)</f>
        <v>0.86933154866186324</v>
      </c>
      <c r="K5" s="17"/>
      <c r="L5" s="17"/>
      <c r="M5" s="17"/>
      <c r="N5" s="17">
        <f>SUM(N6:N15)</f>
        <v>410.92267922425577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103.552095987931</v>
      </c>
      <c r="C8" s="33"/>
      <c r="D8" s="37">
        <f>IF( ISERROR(IND_metaal_Gas_kWH/1000),0,IND_metaal_Gas_kWH/1000)*0.902</f>
        <v>53.746231080353489</v>
      </c>
      <c r="E8" s="33">
        <f>C30*'E Balans VL '!I18/100/3.6*1000000</f>
        <v>0.95206151104360748</v>
      </c>
      <c r="F8" s="33">
        <f>C30*'E Balans VL '!L18/100/3.6*1000000+C30*'E Balans VL '!N18/100/3.6*1000000</f>
        <v>9.7097390054107873</v>
      </c>
      <c r="G8" s="34"/>
      <c r="H8" s="33"/>
      <c r="I8" s="33"/>
      <c r="J8" s="40">
        <f>C30*'E Balans VL '!D18/100/3.6*1000000+C30*'E Balans VL '!E18/100/3.6*1000000</f>
        <v>0</v>
      </c>
      <c r="K8" s="33"/>
      <c r="L8" s="33"/>
      <c r="M8" s="33"/>
      <c r="N8" s="33">
        <f>C30*'E Balans VL '!Y18/100/3.6*1000000</f>
        <v>1.477341776312795</v>
      </c>
      <c r="O8" s="33"/>
      <c r="P8" s="33"/>
      <c r="R8" s="32"/>
    </row>
    <row r="9" spans="1:18">
      <c r="A9" s="6" t="s">
        <v>33</v>
      </c>
      <c r="B9" s="37">
        <f t="shared" si="0"/>
        <v>905.9357746460521</v>
      </c>
      <c r="C9" s="33"/>
      <c r="D9" s="37">
        <f>IF( ISERROR(IND_andere_gas_kWh/1000),0,IND_andere_gas_kWh/1000)*0.902</f>
        <v>446.04926131887908</v>
      </c>
      <c r="E9" s="33">
        <f>C31*'E Balans VL '!I19/100/3.6*1000000</f>
        <v>264.82266341836146</v>
      </c>
      <c r="F9" s="33">
        <f>C31*'E Balans VL '!L19/100/3.6*1000000+C31*'E Balans VL '!N19/100/3.6*1000000</f>
        <v>727.9879679653468</v>
      </c>
      <c r="G9" s="34"/>
      <c r="H9" s="33"/>
      <c r="I9" s="33"/>
      <c r="J9" s="40">
        <f>C31*'E Balans VL '!D19/100/3.6*1000000+C31*'E Balans VL '!E19/100/3.6*1000000</f>
        <v>0</v>
      </c>
      <c r="K9" s="33"/>
      <c r="L9" s="33"/>
      <c r="M9" s="33"/>
      <c r="N9" s="33">
        <f>C31*'E Balans VL '!Y19/100/3.6*1000000</f>
        <v>299.33523001076975</v>
      </c>
      <c r="O9" s="33"/>
      <c r="P9" s="33"/>
      <c r="R9" s="32"/>
    </row>
    <row r="10" spans="1:18">
      <c r="A10" s="6" t="s">
        <v>41</v>
      </c>
      <c r="B10" s="37">
        <f t="shared" si="0"/>
        <v>394.73318001380204</v>
      </c>
      <c r="C10" s="33"/>
      <c r="D10" s="37">
        <f>IF( ISERROR(IND_voed_gas_kWh/1000),0,IND_voed_gas_kWh/1000)*0.902</f>
        <v>543.41160172261061</v>
      </c>
      <c r="E10" s="33">
        <f>C32*'E Balans VL '!I20/100/3.6*1000000</f>
        <v>0.83506416272964346</v>
      </c>
      <c r="F10" s="33">
        <f>C32*'E Balans VL '!L20/100/3.6*1000000+C32*'E Balans VL '!N20/100/3.6*1000000</f>
        <v>25.097538793397021</v>
      </c>
      <c r="G10" s="34"/>
      <c r="H10" s="33"/>
      <c r="I10" s="33"/>
      <c r="J10" s="40">
        <f>C32*'E Balans VL '!D20/100/3.6*1000000+C32*'E Balans VL '!E20/100/3.6*1000000</f>
        <v>0</v>
      </c>
      <c r="K10" s="33"/>
      <c r="L10" s="33"/>
      <c r="M10" s="33"/>
      <c r="N10" s="33">
        <f>C32*'E Balans VL '!Y20/100/3.6*1000000</f>
        <v>27.240484743153285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9.8025653980413008</v>
      </c>
      <c r="C13" s="33"/>
      <c r="D13" s="37">
        <f>IF( ISERROR(IND_papier_gas_kWh/1000),0,IND_papier_gas_kWh/1000)*0.902</f>
        <v>0</v>
      </c>
      <c r="E13" s="33">
        <f>C35*'E Balans VL '!I23/100/3.6*1000000</f>
        <v>1.3907598470517349E-2</v>
      </c>
      <c r="F13" s="33">
        <f>C35*'E Balans VL '!L23/100/3.6*1000000+C35*'E Balans VL '!N23/100/3.6*1000000</f>
        <v>0.23931748138861303</v>
      </c>
      <c r="G13" s="34"/>
      <c r="H13" s="33"/>
      <c r="I13" s="33"/>
      <c r="J13" s="40">
        <f>C35*'E Balans VL '!D23/100/3.6*1000000+C35*'E Balans VL '!E23/100/3.6*1000000</f>
        <v>1.5160587708992455E-3</v>
      </c>
      <c r="K13" s="33"/>
      <c r="L13" s="33"/>
      <c r="M13" s="33"/>
      <c r="N13" s="33">
        <f>C35*'E Balans VL '!Y23/100/3.6*1000000</f>
        <v>28.493737185494229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242.407849002343</v>
      </c>
      <c r="C15" s="33"/>
      <c r="D15" s="37">
        <f>IF( ISERROR(IND_rest_gas_kWh/1000),0,IND_rest_gas_kWh/1000)*0.902</f>
        <v>6146.0467293805532</v>
      </c>
      <c r="E15" s="33">
        <f>C37*'E Balans VL '!I15/100/3.6*1000000</f>
        <v>13.384777552387451</v>
      </c>
      <c r="F15" s="33">
        <f>C37*'E Balans VL '!L15/100/3.6*1000000+C37*'E Balans VL '!N15/100/3.6*1000000</f>
        <v>48.013739496541874</v>
      </c>
      <c r="G15" s="34"/>
      <c r="H15" s="33"/>
      <c r="I15" s="33"/>
      <c r="J15" s="40">
        <f>C37*'E Balans VL '!D15/100/3.6*1000000+C37*'E Balans VL '!E15/100/3.6*1000000</f>
        <v>0.86781548989096402</v>
      </c>
      <c r="K15" s="33"/>
      <c r="L15" s="33"/>
      <c r="M15" s="33"/>
      <c r="N15" s="33">
        <f>C37*'E Balans VL '!Y15/100/3.6*1000000</f>
        <v>54.375885508525698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1656.4314650481695</v>
      </c>
      <c r="C18" s="21">
        <f>C5+C16</f>
        <v>0</v>
      </c>
      <c r="D18" s="21">
        <f>MAX((D5+D16),0)</f>
        <v>7189.2538235023967</v>
      </c>
      <c r="E18" s="21">
        <f>MAX((E5+E16),0)</f>
        <v>280.00847424299263</v>
      </c>
      <c r="F18" s="21">
        <f>MAX((F5+F16),0)</f>
        <v>811.04830274208518</v>
      </c>
      <c r="G18" s="21"/>
      <c r="H18" s="21"/>
      <c r="I18" s="21"/>
      <c r="J18" s="21">
        <f>MAX((J5+J16),0)</f>
        <v>0.86933154866186324</v>
      </c>
      <c r="K18" s="21"/>
      <c r="L18" s="21">
        <f>MAX((L5+L16),0)</f>
        <v>0</v>
      </c>
      <c r="M18" s="21"/>
      <c r="N18" s="21">
        <f>MAX((N5+N16),0)</f>
        <v>410.92267922425577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0.12225140346060057</v>
      </c>
      <c r="C20" s="25">
        <f ca="1">'EF ele_warmte'!B22</f>
        <v>8.5720600586441154E-2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202.50107133843744</v>
      </c>
      <c r="C22" s="23">
        <f ca="1">C18*C20</f>
        <v>0</v>
      </c>
      <c r="D22" s="23">
        <f>D18*D20</f>
        <v>1452.2292723474843</v>
      </c>
      <c r="E22" s="23">
        <f>E18*E20</f>
        <v>63.561923653159333</v>
      </c>
      <c r="F22" s="23">
        <f>F18*F20</f>
        <v>216.54989683213677</v>
      </c>
      <c r="G22" s="23"/>
      <c r="H22" s="23"/>
      <c r="I22" s="23"/>
      <c r="J22" s="23">
        <f>J18*J20</f>
        <v>0.30774336822629955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103.552095987931</v>
      </c>
      <c r="C30" s="39">
        <f>IF(ISERROR(B30*3.6/1000000/'E Balans VL '!Z18*100),0,B30*3.6/1000000/'E Balans VL '!Z18*100)</f>
        <v>5.8685628045767792E-3</v>
      </c>
      <c r="D30" s="237" t="s">
        <v>754</v>
      </c>
    </row>
    <row r="31" spans="1:18">
      <c r="A31" s="6" t="s">
        <v>33</v>
      </c>
      <c r="B31" s="37">
        <f>IF( ISERROR(IND_ander_ele_kWh/1000),0,IND_ander_ele_kWh/1000)</f>
        <v>905.9357746460521</v>
      </c>
      <c r="C31" s="39">
        <f>IF(ISERROR(B31*3.6/1000000/'E Balans VL '!Z19*100),0,B31*3.6/1000000/'E Balans VL '!Z19*100)</f>
        <v>4.1089474487034171E-2</v>
      </c>
      <c r="D31" s="237" t="s">
        <v>754</v>
      </c>
    </row>
    <row r="32" spans="1:18">
      <c r="A32" s="171" t="s">
        <v>41</v>
      </c>
      <c r="B32" s="37">
        <f>IF( ISERROR(IND_voed_ele_kWh/1000),0,IND_voed_ele_kWh/1000)</f>
        <v>394.73318001380204</v>
      </c>
      <c r="C32" s="39">
        <f>IF(ISERROR(B32*3.6/1000000/'E Balans VL '!Z20*100),0,B32*3.6/1000000/'E Balans VL '!Z20*100)</f>
        <v>1.2210889195161044E-2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9.8025653980413008</v>
      </c>
      <c r="C35" s="39">
        <f>IF(ISERROR(B35*3.6/1000000/'E Balans VL '!Z22*100),0,B35*3.6/1000000/'E Balans VL '!Z22*100)</f>
        <v>1.7631756785895048E-3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242.407849002343</v>
      </c>
      <c r="C37" s="39">
        <f>IF(ISERROR(B37*3.6/1000000/'E Balans VL '!Z15*100),0,B37*3.6/1000000/'E Balans VL '!Z15*100)</f>
        <v>1.9213799084953362E-3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1337.9617667071884</v>
      </c>
      <c r="C5" s="17">
        <f>'Eigen informatie GS &amp; warmtenet'!B60</f>
        <v>0</v>
      </c>
      <c r="D5" s="30">
        <f>IF(ISERROR(SUM(LB_lb_gas_kWh,LB_rest_gas_kWh,onbekend_gas_kWh)/1000),0,SUM(LB_lb_gas_kWh,LB_rest_gas_kWh,onbekend_gas_kWh)/1000)*0.902</f>
        <v>19839.189750902788</v>
      </c>
      <c r="E5" s="17">
        <f>B17*'E Balans VL '!I25/3.6*1000000/100</f>
        <v>39.326782930442093</v>
      </c>
      <c r="F5" s="17">
        <f>B17*('E Balans VL '!L25/3.6*1000000+'E Balans VL '!N25/3.6*1000000)/100</f>
        <v>5573.8764204431154</v>
      </c>
      <c r="G5" s="18"/>
      <c r="H5" s="17"/>
      <c r="I5" s="17"/>
      <c r="J5" s="17">
        <f>('E Balans VL '!D25+'E Balans VL '!E25)/3.6*1000000*landbouw!B17/100</f>
        <v>193.84192693802751</v>
      </c>
      <c r="K5" s="17"/>
      <c r="L5" s="17">
        <f>L6*(-1)</f>
        <v>0</v>
      </c>
      <c r="M5" s="17"/>
      <c r="N5" s="17">
        <f>N6*(-1)</f>
        <v>37188.857142857152</v>
      </c>
      <c r="O5" s="17"/>
      <c r="P5" s="17"/>
      <c r="R5" s="32"/>
    </row>
    <row r="6" spans="1:18">
      <c r="A6" s="16" t="s">
        <v>488</v>
      </c>
      <c r="B6" s="17" t="s">
        <v>211</v>
      </c>
      <c r="C6" s="17">
        <f>'lokale energieproductie'!O91+'lokale energieproductie'!O60</f>
        <v>28635.857142857145</v>
      </c>
      <c r="D6" s="310">
        <f>('lokale energieproductie'!P60+'lokale energieproductie'!P91)*(-1)</f>
        <v>-20082.857142857145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-37188.857142857152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1337.9617667071884</v>
      </c>
      <c r="C8" s="21">
        <f>C5+C6</f>
        <v>28635.857142857145</v>
      </c>
      <c r="D8" s="21">
        <f>MAX((D5+D6),0)</f>
        <v>0</v>
      </c>
      <c r="E8" s="21">
        <f>MAX((E5+E6),0)</f>
        <v>39.326782930442093</v>
      </c>
      <c r="F8" s="21">
        <f>MAX((F5+F6),0)</f>
        <v>5573.8764204431154</v>
      </c>
      <c r="G8" s="21"/>
      <c r="H8" s="21"/>
      <c r="I8" s="21"/>
      <c r="J8" s="21">
        <f>MAX((J5+J6),0)</f>
        <v>193.84192693802751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0.12225140346060057</v>
      </c>
      <c r="C10" s="31">
        <f ca="1">'EF ele_warmte'!B22</f>
        <v>8.5720600586441154E-2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163.56770375657842</v>
      </c>
      <c r="C12" s="23">
        <f ca="1">C8*C10</f>
        <v>2454.6828725932451</v>
      </c>
      <c r="D12" s="23">
        <f>D8*D10</f>
        <v>0</v>
      </c>
      <c r="E12" s="23">
        <f>E8*E10</f>
        <v>8.9271797252103546</v>
      </c>
      <c r="F12" s="23">
        <f>F8*F10</f>
        <v>1488.2250042583119</v>
      </c>
      <c r="G12" s="23"/>
      <c r="H12" s="23"/>
      <c r="I12" s="23"/>
      <c r="J12" s="23">
        <f>J8*J10</f>
        <v>68.620042136061741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0.18986097242277547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230.49576852578923</v>
      </c>
      <c r="C26" s="247">
        <f>B26*'GWP N2O_CH4'!B5</f>
        <v>4840.4111390415737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65.975067154339541</v>
      </c>
      <c r="C27" s="247">
        <f>B27*'GWP N2O_CH4'!B5</f>
        <v>1385.4764102411305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4.8156863020683041</v>
      </c>
      <c r="C28" s="247">
        <f>B28*'GWP N2O_CH4'!B4</f>
        <v>1492.8627536411743</v>
      </c>
      <c r="D28" s="50"/>
    </row>
    <row r="29" spans="1:4">
      <c r="A29" s="41" t="s">
        <v>277</v>
      </c>
      <c r="B29" s="247">
        <f>B34*'ha_N2O bodem landbouw'!B4</f>
        <v>10.961583675872733</v>
      </c>
      <c r="C29" s="247">
        <f>B29*'GWP N2O_CH4'!B4</f>
        <v>3398.0909395205472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2.5013956195362981E-3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1.5689776473095385E-4</v>
      </c>
      <c r="C5" s="463" t="s">
        <v>211</v>
      </c>
      <c r="D5" s="448">
        <f>SUM(D6:D11)</f>
        <v>4.9575431088960816E-4</v>
      </c>
      <c r="E5" s="448">
        <f>SUM(E6:E11)</f>
        <v>6.7146974775522065E-4</v>
      </c>
      <c r="F5" s="461" t="s">
        <v>211</v>
      </c>
      <c r="G5" s="448">
        <f>SUM(G6:G11)</f>
        <v>0.22171467485533167</v>
      </c>
      <c r="H5" s="448">
        <f>SUM(H6:H11)</f>
        <v>5.6207083199261841E-2</v>
      </c>
      <c r="I5" s="463" t="s">
        <v>211</v>
      </c>
      <c r="J5" s="463" t="s">
        <v>211</v>
      </c>
      <c r="K5" s="463" t="s">
        <v>211</v>
      </c>
      <c r="L5" s="463" t="s">
        <v>211</v>
      </c>
      <c r="M5" s="448">
        <f>SUM(M6:M11)</f>
        <v>1.462193991497621E-2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1.4611990769111493E-4</v>
      </c>
      <c r="C6" s="449"/>
      <c r="D6" s="962">
        <f>vkm_2011_GW_PW*SUMIFS(TableVerdeelsleutelVkm[CNG],TableVerdeelsleutelVkm[Voertuigtype],"Lichte voertuigen")*SUMIFS(TableECFTransport[EnergieConsumptieFactor (PJ per km)],TableECFTransport[Index],CONCATENATE($A6,"_CNG_CNG"))</f>
        <v>4.3827585787479135E-4</v>
      </c>
      <c r="E6" s="962">
        <f>vkm_2011_GW_PW*SUMIFS(TableVerdeelsleutelVkm[LPG],TableVerdeelsleutelVkm[Voertuigtype],"Lichte voertuigen")*SUMIFS(TableECFTransport[EnergieConsumptieFactor (PJ per km)],TableECFTransport[Index],CONCATENATE($A6,"_LPG_LPG"))</f>
        <v>5.9874777708137327E-4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0.15480872812854124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4.984011692051947E-2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1.0523874335921023E-2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4.929864226155789E-2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1.5022596401276112E-5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2.8808489575938134E-3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1.0777857039838927E-5</v>
      </c>
      <c r="C8" s="449"/>
      <c r="D8" s="451">
        <f>vkm_2011_NGW_PW*SUMIFS(TableVerdeelsleutelVkm[CNG],TableVerdeelsleutelVkm[Voertuigtype],"Lichte voertuigen")*SUMIFS(TableECFTransport[EnergieConsumptieFactor (PJ per km)],TableECFTransport[Index],CONCATENATE($A8,"_CNG_CNG"))</f>
        <v>5.7478453014816768E-5</v>
      </c>
      <c r="E8" s="451">
        <f>vkm_2011_NGW_PW*SUMIFS(TableVerdeelsleutelVkm[LPG],TableVerdeelsleutelVkm[Voertuigtype],"Lichte voertuigen")*SUMIFS(TableECFTransport[EnergieConsumptieFactor (PJ per km)],TableECFTransport[Index],CONCATENATE($A8,"_LPG_LPG"))</f>
        <v>7.2721970673847409E-5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1.7522003892527966E-2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6.3519192118638244E-3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1.21223198441658E-3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8.5300572704547346E-5</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2.4470477272830857E-8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4.9846370447929463E-6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43.582712425264958</v>
      </c>
      <c r="C14" s="21"/>
      <c r="D14" s="21">
        <f t="shared" ref="D14:M14" si="0">((D5)*10^9/3600)+D12</f>
        <v>137.70953080266892</v>
      </c>
      <c r="E14" s="21">
        <f t="shared" si="0"/>
        <v>186.51937437645017</v>
      </c>
      <c r="F14" s="21"/>
      <c r="G14" s="21">
        <f t="shared" si="0"/>
        <v>61587.409682036574</v>
      </c>
      <c r="H14" s="21">
        <f t="shared" si="0"/>
        <v>15613.078666461623</v>
      </c>
      <c r="I14" s="21"/>
      <c r="J14" s="21"/>
      <c r="K14" s="21"/>
      <c r="L14" s="21"/>
      <c r="M14" s="21">
        <f t="shared" si="0"/>
        <v>4061.6499763822803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0.12225140346060057</v>
      </c>
      <c r="C16" s="56">
        <f ca="1">'EF ele_warmte'!B22</f>
        <v>8.5720600586441154E-2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5.3280477606083956</v>
      </c>
      <c r="C18" s="23"/>
      <c r="D18" s="23">
        <f t="shared" ref="D18:M18" si="1">D14*D16</f>
        <v>27.817325222139125</v>
      </c>
      <c r="E18" s="23">
        <f t="shared" si="1"/>
        <v>42.339897983454193</v>
      </c>
      <c r="F18" s="23"/>
      <c r="G18" s="23">
        <f t="shared" si="1"/>
        <v>16443.838385103765</v>
      </c>
      <c r="H18" s="23">
        <f t="shared" si="1"/>
        <v>3887.656587948944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4.1126972244949168E-3</v>
      </c>
      <c r="H50" s="321">
        <f t="shared" si="2"/>
        <v>0</v>
      </c>
      <c r="I50" s="321">
        <f t="shared" si="2"/>
        <v>0</v>
      </c>
      <c r="J50" s="321">
        <f t="shared" si="2"/>
        <v>0</v>
      </c>
      <c r="K50" s="321">
        <f t="shared" si="2"/>
        <v>0</v>
      </c>
      <c r="L50" s="321">
        <f t="shared" si="2"/>
        <v>0</v>
      </c>
      <c r="M50" s="321">
        <f t="shared" si="2"/>
        <v>2.3358304653526714E-4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4.1126972244949168E-3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2.3358304653526714E-4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1142.4158956930326</v>
      </c>
      <c r="H54" s="21">
        <f t="shared" si="3"/>
        <v>0</v>
      </c>
      <c r="I54" s="21">
        <f t="shared" si="3"/>
        <v>0</v>
      </c>
      <c r="J54" s="21">
        <f t="shared" si="3"/>
        <v>0</v>
      </c>
      <c r="K54" s="21">
        <f t="shared" si="3"/>
        <v>0</v>
      </c>
      <c r="L54" s="21">
        <f t="shared" si="3"/>
        <v>0</v>
      </c>
      <c r="M54" s="21">
        <f t="shared" si="3"/>
        <v>64.884179593129758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0.12225140346060057</v>
      </c>
      <c r="C56" s="56">
        <f ca="1">'EF ele_warmte'!B22</f>
        <v>8.5720600586441154E-2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305.02504415003972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5761.550148853923</v>
      </c>
      <c r="C6" s="1204"/>
      <c r="D6" s="1189"/>
      <c r="E6" s="1189"/>
      <c r="F6" s="1207"/>
      <c r="G6" s="1210"/>
      <c r="H6" s="1201"/>
      <c r="I6" s="1189"/>
      <c r="J6" s="1189"/>
      <c r="K6" s="1189"/>
      <c r="L6" s="1193"/>
      <c r="M6" s="575"/>
      <c r="N6" s="1167"/>
      <c r="O6" s="1168"/>
      <c r="Q6" s="573"/>
      <c r="R6" s="1155"/>
      <c r="S6" s="1155"/>
    </row>
    <row r="7" spans="1:19" s="563" customFormat="1">
      <c r="A7" s="576" t="s">
        <v>252</v>
      </c>
      <c r="B7" s="577">
        <f>N57</f>
        <v>20360.099999999999</v>
      </c>
      <c r="C7" s="578">
        <f>B100</f>
        <v>8640</v>
      </c>
      <c r="D7" s="579"/>
      <c r="E7" s="579">
        <f>E100</f>
        <v>0</v>
      </c>
      <c r="F7" s="580"/>
      <c r="G7" s="581"/>
      <c r="H7" s="579">
        <f>I100</f>
        <v>0</v>
      </c>
      <c r="I7" s="579">
        <f>G100+F100</f>
        <v>0</v>
      </c>
      <c r="J7" s="579">
        <f>H100+D100+C100</f>
        <v>15313.058823529414</v>
      </c>
      <c r="K7" s="579"/>
      <c r="L7" s="582"/>
      <c r="M7" s="583">
        <f>C7*$C$11+D7*$D$11+E7*$E$11+F7*$F$11+G7*$G$11+H7*$H$11+I7*$I$11+J7*$J$11</f>
        <v>1745.2800000000002</v>
      </c>
      <c r="N7" s="1167"/>
      <c r="O7" s="1168"/>
      <c r="Q7" s="573"/>
      <c r="R7" s="1155"/>
      <c r="S7" s="1155"/>
    </row>
    <row r="8" spans="1:19" s="563" customFormat="1" ht="17.45" customHeight="1" thickBot="1">
      <c r="A8" s="584" t="s">
        <v>248</v>
      </c>
      <c r="B8" s="585">
        <f>N88+'Eigen informatie GS &amp; warmtenet'!B12</f>
        <v>1341</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27462.650148853922</v>
      </c>
      <c r="C9" s="594">
        <f t="shared" ref="C9:L9" si="0">SUM(C7:C8)</f>
        <v>8640</v>
      </c>
      <c r="D9" s="594">
        <f t="shared" si="0"/>
        <v>0</v>
      </c>
      <c r="E9" s="594">
        <f t="shared" si="0"/>
        <v>0</v>
      </c>
      <c r="F9" s="594">
        <f t="shared" si="0"/>
        <v>0</v>
      </c>
      <c r="G9" s="594">
        <f t="shared" si="0"/>
        <v>0</v>
      </c>
      <c r="H9" s="594">
        <f t="shared" si="0"/>
        <v>0</v>
      </c>
      <c r="I9" s="594">
        <f t="shared" si="0"/>
        <v>0</v>
      </c>
      <c r="J9" s="594">
        <f t="shared" si="0"/>
        <v>19144.487394957985</v>
      </c>
      <c r="K9" s="594">
        <f t="shared" si="0"/>
        <v>0</v>
      </c>
      <c r="L9" s="594">
        <f t="shared" si="0"/>
        <v>0</v>
      </c>
      <c r="M9" s="595">
        <f>SUM(M4:M8)</f>
        <v>1745.2800000000002</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29085.857142857145</v>
      </c>
      <c r="C16" s="610">
        <f>B101</f>
        <v>12342.857142857145</v>
      </c>
      <c r="D16" s="611"/>
      <c r="E16" s="611">
        <f>E101</f>
        <v>0</v>
      </c>
      <c r="F16" s="612"/>
      <c r="G16" s="613"/>
      <c r="H16" s="610">
        <f>I101</f>
        <v>0</v>
      </c>
      <c r="I16" s="611">
        <f>G101+F101</f>
        <v>0</v>
      </c>
      <c r="J16" s="611">
        <f>H101+D101+C101</f>
        <v>21875.798319327736</v>
      </c>
      <c r="K16" s="611"/>
      <c r="L16" s="614"/>
      <c r="M16" s="615">
        <f>C16*$C$21+E16*$E$21+H16*$H$21+I16*$I$21+J16*$J$21+D16*$D$21+F16*$F$21+G16*$G$21+K16*$K$21+L16*$L$21</f>
        <v>2493.2571428571437</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29085.857142857145</v>
      </c>
      <c r="C19" s="593">
        <f>SUM(C16:C18)</f>
        <v>12342.857142857145</v>
      </c>
      <c r="D19" s="593">
        <f t="shared" ref="D19:M19" si="1">SUM(D16:D18)</f>
        <v>0</v>
      </c>
      <c r="E19" s="593">
        <f t="shared" si="1"/>
        <v>0</v>
      </c>
      <c r="F19" s="593">
        <f t="shared" si="1"/>
        <v>0</v>
      </c>
      <c r="G19" s="593">
        <f t="shared" si="1"/>
        <v>0</v>
      </c>
      <c r="H19" s="593">
        <f t="shared" si="1"/>
        <v>0</v>
      </c>
      <c r="I19" s="593">
        <f t="shared" si="1"/>
        <v>0</v>
      </c>
      <c r="J19" s="593">
        <f t="shared" si="1"/>
        <v>21875.798319327736</v>
      </c>
      <c r="K19" s="593">
        <f t="shared" si="1"/>
        <v>0</v>
      </c>
      <c r="L19" s="593">
        <f t="shared" si="1"/>
        <v>0</v>
      </c>
      <c r="M19" s="620">
        <f t="shared" si="1"/>
        <v>2493.2571428571437</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13013</v>
      </c>
      <c r="C27" s="851">
        <v>2230</v>
      </c>
      <c r="D27" s="672" t="s">
        <v>809</v>
      </c>
      <c r="E27" s="671" t="s">
        <v>810</v>
      </c>
      <c r="F27" s="671" t="s">
        <v>811</v>
      </c>
      <c r="G27" s="671" t="s">
        <v>812</v>
      </c>
      <c r="H27" s="671" t="s">
        <v>813</v>
      </c>
      <c r="I27" s="671" t="s">
        <v>810</v>
      </c>
      <c r="J27" s="850">
        <v>39923</v>
      </c>
      <c r="K27" s="850">
        <v>39923</v>
      </c>
      <c r="L27" s="671" t="s">
        <v>814</v>
      </c>
      <c r="M27" s="671">
        <v>1562</v>
      </c>
      <c r="N27" s="671">
        <v>7029</v>
      </c>
      <c r="O27" s="671">
        <v>10041.428571428572</v>
      </c>
      <c r="P27" s="671">
        <v>20082.857142857145</v>
      </c>
      <c r="Q27" s="671">
        <v>0</v>
      </c>
      <c r="R27" s="671">
        <v>0</v>
      </c>
      <c r="S27" s="671">
        <v>0</v>
      </c>
      <c r="T27" s="671">
        <v>0</v>
      </c>
      <c r="U27" s="671">
        <v>0</v>
      </c>
      <c r="V27" s="671">
        <v>0</v>
      </c>
      <c r="W27" s="671">
        <v>0</v>
      </c>
      <c r="X27" s="671">
        <v>10</v>
      </c>
      <c r="Y27" s="671" t="s">
        <v>112</v>
      </c>
      <c r="Z27" s="673" t="s">
        <v>112</v>
      </c>
    </row>
    <row r="28" spans="1:26" s="625" customFormat="1" ht="25.5">
      <c r="A28" s="624"/>
      <c r="B28" s="851">
        <v>13013</v>
      </c>
      <c r="C28" s="851">
        <v>2230</v>
      </c>
      <c r="D28" s="672" t="s">
        <v>815</v>
      </c>
      <c r="E28" s="671" t="s">
        <v>816</v>
      </c>
      <c r="F28" s="671" t="s">
        <v>817</v>
      </c>
      <c r="G28" s="671" t="s">
        <v>812</v>
      </c>
      <c r="H28" s="671" t="s">
        <v>813</v>
      </c>
      <c r="I28" s="671" t="s">
        <v>816</v>
      </c>
      <c r="J28" s="850">
        <v>40168</v>
      </c>
      <c r="K28" s="850">
        <v>39933</v>
      </c>
      <c r="L28" s="671" t="s">
        <v>814</v>
      </c>
      <c r="M28" s="671">
        <v>2486</v>
      </c>
      <c r="N28" s="671">
        <v>11187.000000000002</v>
      </c>
      <c r="O28" s="671">
        <v>15981.428571428574</v>
      </c>
      <c r="P28" s="671">
        <v>0</v>
      </c>
      <c r="Q28" s="671">
        <v>31962.857142857149</v>
      </c>
      <c r="R28" s="671">
        <v>0</v>
      </c>
      <c r="S28" s="671">
        <v>0</v>
      </c>
      <c r="T28" s="671">
        <v>0</v>
      </c>
      <c r="U28" s="671">
        <v>0</v>
      </c>
      <c r="V28" s="671">
        <v>0</v>
      </c>
      <c r="W28" s="671">
        <v>0</v>
      </c>
      <c r="X28" s="671">
        <v>10</v>
      </c>
      <c r="Y28" s="671" t="s">
        <v>112</v>
      </c>
      <c r="Z28" s="673" t="s">
        <v>112</v>
      </c>
    </row>
    <row r="29" spans="1:26" s="625" customFormat="1" ht="38.25">
      <c r="A29" s="624"/>
      <c r="B29" s="851">
        <v>13013</v>
      </c>
      <c r="C29" s="851">
        <v>2230</v>
      </c>
      <c r="D29" s="672" t="s">
        <v>818</v>
      </c>
      <c r="E29" s="671" t="s">
        <v>819</v>
      </c>
      <c r="F29" s="671" t="s">
        <v>820</v>
      </c>
      <c r="G29" s="671" t="s">
        <v>812</v>
      </c>
      <c r="H29" s="671" t="s">
        <v>813</v>
      </c>
      <c r="I29" s="671" t="s">
        <v>819</v>
      </c>
      <c r="J29" s="850">
        <v>41995</v>
      </c>
      <c r="K29" s="850">
        <v>41992</v>
      </c>
      <c r="L29" s="671" t="s">
        <v>814</v>
      </c>
      <c r="M29" s="671">
        <v>70</v>
      </c>
      <c r="N29" s="671">
        <v>315.00000000000006</v>
      </c>
      <c r="O29" s="671">
        <v>450.00000000000011</v>
      </c>
      <c r="P29" s="671">
        <v>900.00000000000023</v>
      </c>
      <c r="Q29" s="671">
        <v>0</v>
      </c>
      <c r="R29" s="671">
        <v>0</v>
      </c>
      <c r="S29" s="671">
        <v>0</v>
      </c>
      <c r="T29" s="671">
        <v>0</v>
      </c>
      <c r="U29" s="671">
        <v>0</v>
      </c>
      <c r="V29" s="671">
        <v>0</v>
      </c>
      <c r="W29" s="671">
        <v>0</v>
      </c>
      <c r="X29" s="671">
        <v>1500</v>
      </c>
      <c r="Y29" s="671" t="s">
        <v>51</v>
      </c>
      <c r="Z29" s="673" t="s">
        <v>156</v>
      </c>
    </row>
    <row r="30" spans="1:26" s="625" customFormat="1" ht="25.5">
      <c r="A30" s="624"/>
      <c r="B30" s="851">
        <v>13013</v>
      </c>
      <c r="C30" s="851">
        <v>2230</v>
      </c>
      <c r="D30" s="672"/>
      <c r="E30" s="671"/>
      <c r="F30" s="671" t="s">
        <v>821</v>
      </c>
      <c r="G30" s="671" t="s">
        <v>812</v>
      </c>
      <c r="H30" s="671" t="s">
        <v>813</v>
      </c>
      <c r="I30" s="671" t="s">
        <v>822</v>
      </c>
      <c r="J30" s="850">
        <v>41716</v>
      </c>
      <c r="K30" s="850">
        <v>42123</v>
      </c>
      <c r="L30" s="671" t="s">
        <v>814</v>
      </c>
      <c r="M30" s="671">
        <v>9.6999999999999993</v>
      </c>
      <c r="N30" s="671">
        <v>29.099999999999994</v>
      </c>
      <c r="O30" s="671">
        <v>41.571428571428562</v>
      </c>
      <c r="P30" s="671">
        <v>0</v>
      </c>
      <c r="Q30" s="671">
        <v>83.142857142857139</v>
      </c>
      <c r="R30" s="671">
        <v>0</v>
      </c>
      <c r="S30" s="671">
        <v>0</v>
      </c>
      <c r="T30" s="671">
        <v>0</v>
      </c>
      <c r="U30" s="671">
        <v>0</v>
      </c>
      <c r="V30" s="671">
        <v>0</v>
      </c>
      <c r="W30" s="671">
        <v>0</v>
      </c>
      <c r="X30" s="671">
        <v>10</v>
      </c>
      <c r="Y30" s="671" t="s">
        <v>112</v>
      </c>
      <c r="Z30" s="673" t="s">
        <v>112</v>
      </c>
    </row>
    <row r="31" spans="1:26" s="625" customFormat="1" ht="38.25">
      <c r="A31" s="624"/>
      <c r="B31" s="851">
        <v>13013</v>
      </c>
      <c r="C31" s="851">
        <v>2230</v>
      </c>
      <c r="D31" s="672" t="s">
        <v>823</v>
      </c>
      <c r="E31" s="671"/>
      <c r="F31" s="671" t="s">
        <v>824</v>
      </c>
      <c r="G31" s="671" t="s">
        <v>825</v>
      </c>
      <c r="H31" s="671" t="s">
        <v>813</v>
      </c>
      <c r="I31" s="671" t="s">
        <v>826</v>
      </c>
      <c r="J31" s="850">
        <v>42607</v>
      </c>
      <c r="K31" s="850">
        <v>42607</v>
      </c>
      <c r="L31" s="671" t="s">
        <v>827</v>
      </c>
      <c r="M31" s="671">
        <v>1200</v>
      </c>
      <c r="N31" s="671">
        <v>1800</v>
      </c>
      <c r="O31" s="671">
        <v>2571.4285714285716</v>
      </c>
      <c r="P31" s="671">
        <v>0</v>
      </c>
      <c r="Q31" s="671">
        <v>5142.8571428571431</v>
      </c>
      <c r="R31" s="671">
        <v>0</v>
      </c>
      <c r="S31" s="671">
        <v>0</v>
      </c>
      <c r="T31" s="671">
        <v>0</v>
      </c>
      <c r="U31" s="671">
        <v>0</v>
      </c>
      <c r="V31" s="671">
        <v>0</v>
      </c>
      <c r="W31" s="671">
        <v>0</v>
      </c>
      <c r="X31" s="671">
        <v>10</v>
      </c>
      <c r="Y31" s="671" t="s">
        <v>112</v>
      </c>
      <c r="Z31" s="673" t="s">
        <v>112</v>
      </c>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5327.7</v>
      </c>
      <c r="N57" s="629">
        <f>SUM(N27:N56)</f>
        <v>20360.099999999999</v>
      </c>
      <c r="O57" s="629">
        <f t="shared" ref="O57:W57" si="2">SUM(O27:O56)</f>
        <v>29085.857142857145</v>
      </c>
      <c r="P57" s="629">
        <f t="shared" si="2"/>
        <v>20982.857142857145</v>
      </c>
      <c r="Q57" s="629">
        <f t="shared" si="2"/>
        <v>37188.857142857152</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70</v>
      </c>
      <c r="N59" s="629">
        <f ca="1">SUMIF($Z$27:AB56,"tertiair",N27:N56)</f>
        <v>315.00000000000006</v>
      </c>
      <c r="O59" s="629">
        <f ca="1">SUMIF($Z$27:AC56,"tertiair",O27:O56)</f>
        <v>450.00000000000011</v>
      </c>
      <c r="P59" s="629">
        <f ca="1">SUMIF($Z$27:AD56,"tertiair",P27:P56)</f>
        <v>900.00000000000023</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5257.7</v>
      </c>
      <c r="N60" s="634">
        <f t="shared" ref="N60:W60" si="4">SUMIF($Z$27:$Z$56,"landbouw",N27:N56)</f>
        <v>20045.099999999999</v>
      </c>
      <c r="O60" s="634">
        <f t="shared" si="4"/>
        <v>28635.857142857145</v>
      </c>
      <c r="P60" s="634">
        <f t="shared" si="4"/>
        <v>20082.857142857145</v>
      </c>
      <c r="Q60" s="634">
        <f t="shared" si="4"/>
        <v>37188.857142857152</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13013</v>
      </c>
      <c r="C63" s="851">
        <v>2230</v>
      </c>
      <c r="D63" s="674" t="s">
        <v>828</v>
      </c>
      <c r="E63" s="674" t="s">
        <v>829</v>
      </c>
      <c r="F63" s="674" t="s">
        <v>830</v>
      </c>
      <c r="G63" s="674" t="s">
        <v>831</v>
      </c>
      <c r="H63" s="674" t="s">
        <v>832</v>
      </c>
      <c r="I63" s="674" t="s">
        <v>833</v>
      </c>
      <c r="J63" s="850">
        <v>38796</v>
      </c>
      <c r="K63" s="850">
        <v>39052</v>
      </c>
      <c r="L63" s="674" t="s">
        <v>834</v>
      </c>
      <c r="M63" s="674">
        <v>298</v>
      </c>
      <c r="N63" s="674">
        <v>1341</v>
      </c>
      <c r="O63" s="674">
        <v>0</v>
      </c>
      <c r="P63" s="674">
        <v>0</v>
      </c>
      <c r="Q63" s="674">
        <v>3831.4285714285716</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298</v>
      </c>
      <c r="N88" s="629">
        <f t="shared" ref="N88:W88" si="5">SUM(N63:N87)</f>
        <v>1341</v>
      </c>
      <c r="O88" s="629">
        <f t="shared" si="5"/>
        <v>0</v>
      </c>
      <c r="P88" s="629">
        <f t="shared" si="5"/>
        <v>0</v>
      </c>
      <c r="Q88" s="629">
        <f t="shared" si="5"/>
        <v>3831.4285714285716</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298</v>
      </c>
      <c r="N90" s="629">
        <f t="shared" ref="N90:W90" si="7">SUMIF($Z$63:$Z$88,"tertiair",N63:N88)</f>
        <v>1341</v>
      </c>
      <c r="O90" s="629">
        <f t="shared" si="7"/>
        <v>0</v>
      </c>
      <c r="P90" s="629">
        <f t="shared" si="7"/>
        <v>0</v>
      </c>
      <c r="Q90" s="629">
        <f t="shared" si="7"/>
        <v>3831.4285714285716</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8640</v>
      </c>
      <c r="C100" s="663">
        <f t="shared" si="9"/>
        <v>15313.058823529414</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12342.857142857145</v>
      </c>
      <c r="C101" s="666">
        <f t="shared" ref="C101:H101" si="10">$B$97*Q57</f>
        <v>21875.798319327736</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14881.811891293295</v>
      </c>
      <c r="D10" s="718">
        <f ca="1">tertiair!C16</f>
        <v>450.00000000000011</v>
      </c>
      <c r="E10" s="718">
        <f ca="1">tertiair!D16</f>
        <v>9146.4519469769784</v>
      </c>
      <c r="F10" s="718">
        <f>tertiair!E16</f>
        <v>174.42456973523568</v>
      </c>
      <c r="G10" s="718">
        <f ca="1">tertiair!F16</f>
        <v>2167.965187082857</v>
      </c>
      <c r="H10" s="718">
        <f>tertiair!G16</f>
        <v>0</v>
      </c>
      <c r="I10" s="718">
        <f>tertiair!H16</f>
        <v>0</v>
      </c>
      <c r="J10" s="718">
        <f>tertiair!I16</f>
        <v>0</v>
      </c>
      <c r="K10" s="718">
        <f>tertiair!J16</f>
        <v>3.0122948959497155E-2</v>
      </c>
      <c r="L10" s="718">
        <f>tertiair!K16</f>
        <v>0</v>
      </c>
      <c r="M10" s="718">
        <f ca="1">tertiair!L16</f>
        <v>0</v>
      </c>
      <c r="N10" s="718">
        <f>tertiair!M16</f>
        <v>0</v>
      </c>
      <c r="O10" s="718">
        <f ca="1">tertiair!N16</f>
        <v>0</v>
      </c>
      <c r="P10" s="718">
        <f>tertiair!O16</f>
        <v>1.5633333333333335</v>
      </c>
      <c r="Q10" s="719">
        <f>tertiair!P16</f>
        <v>19.066666666666666</v>
      </c>
      <c r="R10" s="721">
        <f ca="1">SUM(C10:Q10)</f>
        <v>26841.31371803732</v>
      </c>
      <c r="S10" s="67"/>
    </row>
    <row r="11" spans="1:19" s="474" customFormat="1">
      <c r="A11" s="870" t="s">
        <v>225</v>
      </c>
      <c r="B11" s="875"/>
      <c r="C11" s="718">
        <f>huishoudens!B8</f>
        <v>25867.828742666599</v>
      </c>
      <c r="D11" s="718">
        <f>huishoudens!C8</f>
        <v>0</v>
      </c>
      <c r="E11" s="718">
        <f>huishoudens!D8</f>
        <v>32250.595772498778</v>
      </c>
      <c r="F11" s="718">
        <f>huishoudens!E8</f>
        <v>8761.5905467966822</v>
      </c>
      <c r="G11" s="718">
        <f>huishoudens!F8</f>
        <v>62165.542712218929</v>
      </c>
      <c r="H11" s="718">
        <f>huishoudens!G8</f>
        <v>0</v>
      </c>
      <c r="I11" s="718">
        <f>huishoudens!H8</f>
        <v>0</v>
      </c>
      <c r="J11" s="718">
        <f>huishoudens!I8</f>
        <v>0</v>
      </c>
      <c r="K11" s="718">
        <f>huishoudens!J8</f>
        <v>1505.6159615140577</v>
      </c>
      <c r="L11" s="718">
        <f>huishoudens!K8</f>
        <v>0</v>
      </c>
      <c r="M11" s="718">
        <f>huishoudens!L8</f>
        <v>0</v>
      </c>
      <c r="N11" s="718">
        <f>huishoudens!M8</f>
        <v>0</v>
      </c>
      <c r="O11" s="718">
        <f>huishoudens!N8</f>
        <v>25668.284603015192</v>
      </c>
      <c r="P11" s="718">
        <f>huishoudens!O8</f>
        <v>282.96333333333337</v>
      </c>
      <c r="Q11" s="719">
        <f>huishoudens!P8</f>
        <v>1372.8</v>
      </c>
      <c r="R11" s="721">
        <f>SUM(C11:Q11)</f>
        <v>157875.22167204358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1656.4314650481695</v>
      </c>
      <c r="D13" s="718">
        <f>industrie!C18</f>
        <v>0</v>
      </c>
      <c r="E13" s="718">
        <f>industrie!D18</f>
        <v>7189.2538235023967</v>
      </c>
      <c r="F13" s="718">
        <f>industrie!E18</f>
        <v>280.00847424299263</v>
      </c>
      <c r="G13" s="718">
        <f>industrie!F18</f>
        <v>811.04830274208518</v>
      </c>
      <c r="H13" s="718">
        <f>industrie!G18</f>
        <v>0</v>
      </c>
      <c r="I13" s="718">
        <f>industrie!H18</f>
        <v>0</v>
      </c>
      <c r="J13" s="718">
        <f>industrie!I18</f>
        <v>0</v>
      </c>
      <c r="K13" s="718">
        <f>industrie!J18</f>
        <v>0.86933154866186324</v>
      </c>
      <c r="L13" s="718">
        <f>industrie!K18</f>
        <v>0</v>
      </c>
      <c r="M13" s="718">
        <f>industrie!L18</f>
        <v>0</v>
      </c>
      <c r="N13" s="718">
        <f>industrie!M18</f>
        <v>0</v>
      </c>
      <c r="O13" s="718">
        <f>industrie!N18</f>
        <v>410.92267922425577</v>
      </c>
      <c r="P13" s="718">
        <f>industrie!O18</f>
        <v>0</v>
      </c>
      <c r="Q13" s="719">
        <f>industrie!P18</f>
        <v>0</v>
      </c>
      <c r="R13" s="721">
        <f>SUM(C13:Q13)</f>
        <v>10348.534076308561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42406.072099008059</v>
      </c>
      <c r="D15" s="723">
        <f t="shared" ref="D15:Q15" ca="1" si="0">SUM(D9:D14)</f>
        <v>450.00000000000011</v>
      </c>
      <c r="E15" s="723">
        <f t="shared" ca="1" si="0"/>
        <v>48586.301542978152</v>
      </c>
      <c r="F15" s="723">
        <f t="shared" si="0"/>
        <v>9216.023590774912</v>
      </c>
      <c r="G15" s="723">
        <f t="shared" ca="1" si="0"/>
        <v>65144.556202043874</v>
      </c>
      <c r="H15" s="723">
        <f t="shared" si="0"/>
        <v>0</v>
      </c>
      <c r="I15" s="723">
        <f t="shared" si="0"/>
        <v>0</v>
      </c>
      <c r="J15" s="723">
        <f t="shared" si="0"/>
        <v>0</v>
      </c>
      <c r="K15" s="723">
        <f t="shared" si="0"/>
        <v>1506.515416011679</v>
      </c>
      <c r="L15" s="723">
        <f t="shared" si="0"/>
        <v>0</v>
      </c>
      <c r="M15" s="723">
        <f t="shared" ca="1" si="0"/>
        <v>0</v>
      </c>
      <c r="N15" s="723">
        <f t="shared" si="0"/>
        <v>0</v>
      </c>
      <c r="O15" s="723">
        <f t="shared" ca="1" si="0"/>
        <v>26079.207282239448</v>
      </c>
      <c r="P15" s="723">
        <f t="shared" si="0"/>
        <v>284.5266666666667</v>
      </c>
      <c r="Q15" s="724">
        <f t="shared" si="0"/>
        <v>1391.8666666666666</v>
      </c>
      <c r="R15" s="725">
        <f ca="1">SUM(R9:R14)</f>
        <v>195065.06946638948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1142.4158956930326</v>
      </c>
      <c r="I18" s="718">
        <f>transport!H54</f>
        <v>0</v>
      </c>
      <c r="J18" s="718">
        <f>transport!I54</f>
        <v>0</v>
      </c>
      <c r="K18" s="718">
        <f>transport!J54</f>
        <v>0</v>
      </c>
      <c r="L18" s="718">
        <f>transport!K54</f>
        <v>0</v>
      </c>
      <c r="M18" s="718">
        <f>transport!L54</f>
        <v>0</v>
      </c>
      <c r="N18" s="718">
        <f>transport!M54</f>
        <v>64.884179593129758</v>
      </c>
      <c r="O18" s="718">
        <f>transport!N54</f>
        <v>0</v>
      </c>
      <c r="P18" s="718">
        <f>transport!O54</f>
        <v>0</v>
      </c>
      <c r="Q18" s="719">
        <f>transport!P54</f>
        <v>0</v>
      </c>
      <c r="R18" s="721">
        <f>SUM(C18:Q18)</f>
        <v>1207.3000752861624</v>
      </c>
      <c r="S18" s="67"/>
    </row>
    <row r="19" spans="1:19" s="474" customFormat="1" ht="15" thickBot="1">
      <c r="A19" s="870" t="s">
        <v>307</v>
      </c>
      <c r="B19" s="875"/>
      <c r="C19" s="727">
        <f>transport!B14</f>
        <v>43.582712425264958</v>
      </c>
      <c r="D19" s="727">
        <f>transport!C14</f>
        <v>0</v>
      </c>
      <c r="E19" s="727">
        <f>transport!D14</f>
        <v>137.70953080266892</v>
      </c>
      <c r="F19" s="727">
        <f>transport!E14</f>
        <v>186.51937437645017</v>
      </c>
      <c r="G19" s="727">
        <f>transport!F14</f>
        <v>0</v>
      </c>
      <c r="H19" s="727">
        <f>transport!G14</f>
        <v>61587.409682036574</v>
      </c>
      <c r="I19" s="727">
        <f>transport!H14</f>
        <v>15613.078666461623</v>
      </c>
      <c r="J19" s="727">
        <f>transport!I14</f>
        <v>0</v>
      </c>
      <c r="K19" s="727">
        <f>transport!J14</f>
        <v>0</v>
      </c>
      <c r="L19" s="727">
        <f>transport!K14</f>
        <v>0</v>
      </c>
      <c r="M19" s="727">
        <f>transport!L14</f>
        <v>0</v>
      </c>
      <c r="N19" s="727">
        <f>transport!M14</f>
        <v>4061.6499763822803</v>
      </c>
      <c r="O19" s="727">
        <f>transport!N14</f>
        <v>0</v>
      </c>
      <c r="P19" s="727">
        <f>transport!O14</f>
        <v>0</v>
      </c>
      <c r="Q19" s="728">
        <f>transport!P14</f>
        <v>0</v>
      </c>
      <c r="R19" s="729">
        <f>SUM(C19:Q19)</f>
        <v>81629.949942484862</v>
      </c>
      <c r="S19" s="67"/>
    </row>
    <row r="20" spans="1:19" s="474" customFormat="1" ht="15.75" thickBot="1">
      <c r="A20" s="730" t="s">
        <v>230</v>
      </c>
      <c r="B20" s="878"/>
      <c r="C20" s="873">
        <f>SUM(C17:C19)</f>
        <v>43.582712425264958</v>
      </c>
      <c r="D20" s="731">
        <f t="shared" ref="D20:R20" si="1">SUM(D17:D19)</f>
        <v>0</v>
      </c>
      <c r="E20" s="731">
        <f t="shared" si="1"/>
        <v>137.70953080266892</v>
      </c>
      <c r="F20" s="731">
        <f t="shared" si="1"/>
        <v>186.51937437645017</v>
      </c>
      <c r="G20" s="731">
        <f t="shared" si="1"/>
        <v>0</v>
      </c>
      <c r="H20" s="731">
        <f t="shared" si="1"/>
        <v>62729.825577729607</v>
      </c>
      <c r="I20" s="731">
        <f t="shared" si="1"/>
        <v>15613.078666461623</v>
      </c>
      <c r="J20" s="731">
        <f t="shared" si="1"/>
        <v>0</v>
      </c>
      <c r="K20" s="731">
        <f t="shared" si="1"/>
        <v>0</v>
      </c>
      <c r="L20" s="731">
        <f t="shared" si="1"/>
        <v>0</v>
      </c>
      <c r="M20" s="731">
        <f t="shared" si="1"/>
        <v>0</v>
      </c>
      <c r="N20" s="731">
        <f t="shared" si="1"/>
        <v>4126.5341559754097</v>
      </c>
      <c r="O20" s="731">
        <f t="shared" si="1"/>
        <v>0</v>
      </c>
      <c r="P20" s="731">
        <f t="shared" si="1"/>
        <v>0</v>
      </c>
      <c r="Q20" s="732">
        <f t="shared" si="1"/>
        <v>0</v>
      </c>
      <c r="R20" s="733">
        <f t="shared" si="1"/>
        <v>82837.250017771017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1337.9617667071884</v>
      </c>
      <c r="D22" s="727">
        <f>+landbouw!C8</f>
        <v>28635.857142857145</v>
      </c>
      <c r="E22" s="727">
        <f>+landbouw!D8</f>
        <v>0</v>
      </c>
      <c r="F22" s="727">
        <f>+landbouw!E8</f>
        <v>39.326782930442093</v>
      </c>
      <c r="G22" s="727">
        <f>+landbouw!F8</f>
        <v>5573.8764204431154</v>
      </c>
      <c r="H22" s="727">
        <f>+landbouw!G8</f>
        <v>0</v>
      </c>
      <c r="I22" s="727">
        <f>+landbouw!H8</f>
        <v>0</v>
      </c>
      <c r="J22" s="727">
        <f>+landbouw!I8</f>
        <v>0</v>
      </c>
      <c r="K22" s="727">
        <f>+landbouw!J8</f>
        <v>193.84192693802751</v>
      </c>
      <c r="L22" s="727">
        <f>+landbouw!K8</f>
        <v>0</v>
      </c>
      <c r="M22" s="727">
        <f>+landbouw!L8</f>
        <v>0</v>
      </c>
      <c r="N22" s="727">
        <f>+landbouw!M8</f>
        <v>0</v>
      </c>
      <c r="O22" s="727">
        <f>+landbouw!N8</f>
        <v>0</v>
      </c>
      <c r="P22" s="727">
        <f>+landbouw!O8</f>
        <v>0</v>
      </c>
      <c r="Q22" s="728">
        <f>+landbouw!P8</f>
        <v>0</v>
      </c>
      <c r="R22" s="729">
        <f>SUM(C22:Q22)</f>
        <v>35780.864039875916</v>
      </c>
      <c r="S22" s="67"/>
    </row>
    <row r="23" spans="1:19" s="474" customFormat="1" ht="17.25" thickTop="1" thickBot="1">
      <c r="A23" s="734" t="s">
        <v>116</v>
      </c>
      <c r="B23" s="864"/>
      <c r="C23" s="735">
        <f ca="1">C20+C15+C22</f>
        <v>43787.616578140514</v>
      </c>
      <c r="D23" s="735">
        <f t="shared" ref="D23:Q23" ca="1" si="2">D20+D15+D22</f>
        <v>29085.857142857145</v>
      </c>
      <c r="E23" s="735">
        <f t="shared" ca="1" si="2"/>
        <v>48724.011073780821</v>
      </c>
      <c r="F23" s="735">
        <f t="shared" si="2"/>
        <v>9441.8697480818046</v>
      </c>
      <c r="G23" s="735">
        <f t="shared" ca="1" si="2"/>
        <v>70718.432622486987</v>
      </c>
      <c r="H23" s="735">
        <f t="shared" si="2"/>
        <v>62729.825577729607</v>
      </c>
      <c r="I23" s="735">
        <f t="shared" si="2"/>
        <v>15613.078666461623</v>
      </c>
      <c r="J23" s="735">
        <f t="shared" si="2"/>
        <v>0</v>
      </c>
      <c r="K23" s="735">
        <f t="shared" si="2"/>
        <v>1700.3573429497064</v>
      </c>
      <c r="L23" s="735">
        <f t="shared" si="2"/>
        <v>0</v>
      </c>
      <c r="M23" s="735">
        <f t="shared" ca="1" si="2"/>
        <v>0</v>
      </c>
      <c r="N23" s="735">
        <f t="shared" si="2"/>
        <v>4126.5341559754097</v>
      </c>
      <c r="O23" s="735">
        <f t="shared" ca="1" si="2"/>
        <v>26079.207282239448</v>
      </c>
      <c r="P23" s="735">
        <f t="shared" si="2"/>
        <v>284.5266666666667</v>
      </c>
      <c r="Q23" s="736">
        <f t="shared" si="2"/>
        <v>1391.8666666666666</v>
      </c>
      <c r="R23" s="737">
        <f ca="1">R20+R15+R22</f>
        <v>313683.18352403643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1819.3223897472599</v>
      </c>
      <c r="D36" s="718">
        <f ca="1">tertiair!C20</f>
        <v>38.574270263898526</v>
      </c>
      <c r="E36" s="718">
        <f ca="1">tertiair!D20</f>
        <v>1847.5832932893497</v>
      </c>
      <c r="F36" s="718">
        <f>tertiair!E20</f>
        <v>39.594377329898499</v>
      </c>
      <c r="G36" s="718">
        <f ca="1">tertiair!F20</f>
        <v>578.84670495112289</v>
      </c>
      <c r="H36" s="718">
        <f>tertiair!G20</f>
        <v>0</v>
      </c>
      <c r="I36" s="718">
        <f>tertiair!H20</f>
        <v>0</v>
      </c>
      <c r="J36" s="718">
        <f>tertiair!I20</f>
        <v>0</v>
      </c>
      <c r="K36" s="718">
        <f>tertiair!J20</f>
        <v>1.0663523931661992E-2</v>
      </c>
      <c r="L36" s="718">
        <f>tertiair!K20</f>
        <v>0</v>
      </c>
      <c r="M36" s="718">
        <f ca="1">tertiair!L20</f>
        <v>0</v>
      </c>
      <c r="N36" s="718">
        <f>tertiair!M20</f>
        <v>0</v>
      </c>
      <c r="O36" s="718">
        <f ca="1">tertiair!N20</f>
        <v>0</v>
      </c>
      <c r="P36" s="718">
        <f>tertiair!O20</f>
        <v>0</v>
      </c>
      <c r="Q36" s="828">
        <f>tertiair!P20</f>
        <v>0</v>
      </c>
      <c r="R36" s="917">
        <f ca="1">SUM(C36:Q36)</f>
        <v>4323.9316991054611</v>
      </c>
    </row>
    <row r="37" spans="1:18">
      <c r="A37" s="885" t="s">
        <v>225</v>
      </c>
      <c r="B37" s="892"/>
      <c r="C37" s="718">
        <f ca="1">huishoudens!B12</f>
        <v>3162.3783682694543</v>
      </c>
      <c r="D37" s="718">
        <f ca="1">huishoudens!C12</f>
        <v>0</v>
      </c>
      <c r="E37" s="718">
        <f>huishoudens!D12</f>
        <v>6514.6203460447532</v>
      </c>
      <c r="F37" s="718">
        <f>huishoudens!E12</f>
        <v>1988.881054122847</v>
      </c>
      <c r="G37" s="718">
        <f>huishoudens!F12</f>
        <v>16598.199904162455</v>
      </c>
      <c r="H37" s="718">
        <f>huishoudens!G12</f>
        <v>0</v>
      </c>
      <c r="I37" s="718">
        <f>huishoudens!H12</f>
        <v>0</v>
      </c>
      <c r="J37" s="718">
        <f>huishoudens!I12</f>
        <v>0</v>
      </c>
      <c r="K37" s="718">
        <f>huishoudens!J12</f>
        <v>532.9880503759764</v>
      </c>
      <c r="L37" s="718">
        <f>huishoudens!K12</f>
        <v>0</v>
      </c>
      <c r="M37" s="718">
        <f>huishoudens!L12</f>
        <v>0</v>
      </c>
      <c r="N37" s="718">
        <f>huishoudens!M12</f>
        <v>0</v>
      </c>
      <c r="O37" s="718">
        <f>huishoudens!N12</f>
        <v>0</v>
      </c>
      <c r="P37" s="718">
        <f>huishoudens!O12</f>
        <v>0</v>
      </c>
      <c r="Q37" s="828">
        <f>huishoudens!P12</f>
        <v>0</v>
      </c>
      <c r="R37" s="917">
        <f ca="1">SUM(C37:Q37)</f>
        <v>28797.067722975487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202.50107133843744</v>
      </c>
      <c r="D39" s="718">
        <f ca="1">industrie!C22</f>
        <v>0</v>
      </c>
      <c r="E39" s="718">
        <f>industrie!D22</f>
        <v>1452.2292723474843</v>
      </c>
      <c r="F39" s="718">
        <f>industrie!E22</f>
        <v>63.561923653159333</v>
      </c>
      <c r="G39" s="718">
        <f>industrie!F22</f>
        <v>216.54989683213677</v>
      </c>
      <c r="H39" s="718">
        <f>industrie!G22</f>
        <v>0</v>
      </c>
      <c r="I39" s="718">
        <f>industrie!H22</f>
        <v>0</v>
      </c>
      <c r="J39" s="718">
        <f>industrie!I22</f>
        <v>0</v>
      </c>
      <c r="K39" s="718">
        <f>industrie!J22</f>
        <v>0.30774336822629955</v>
      </c>
      <c r="L39" s="718">
        <f>industrie!K22</f>
        <v>0</v>
      </c>
      <c r="M39" s="718">
        <f>industrie!L22</f>
        <v>0</v>
      </c>
      <c r="N39" s="718">
        <f>industrie!M22</f>
        <v>0</v>
      </c>
      <c r="O39" s="718">
        <f>industrie!N22</f>
        <v>0</v>
      </c>
      <c r="P39" s="718">
        <f>industrie!O22</f>
        <v>0</v>
      </c>
      <c r="Q39" s="828">
        <f>industrie!P22</f>
        <v>0</v>
      </c>
      <c r="R39" s="918">
        <f ca="1">SUM(C39:Q39)</f>
        <v>1935.149907539444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5184.2018293551509</v>
      </c>
      <c r="D41" s="763">
        <f t="shared" ref="D41:R41" ca="1" si="4">SUM(D35:D40)</f>
        <v>38.574270263898526</v>
      </c>
      <c r="E41" s="763">
        <f t="shared" ca="1" si="4"/>
        <v>9814.4329116815861</v>
      </c>
      <c r="F41" s="763">
        <f t="shared" si="4"/>
        <v>2092.0373551059047</v>
      </c>
      <c r="G41" s="763">
        <f t="shared" ca="1" si="4"/>
        <v>17393.596505945716</v>
      </c>
      <c r="H41" s="763">
        <f t="shared" si="4"/>
        <v>0</v>
      </c>
      <c r="I41" s="763">
        <f t="shared" si="4"/>
        <v>0</v>
      </c>
      <c r="J41" s="763">
        <f t="shared" si="4"/>
        <v>0</v>
      </c>
      <c r="K41" s="763">
        <f t="shared" si="4"/>
        <v>533.3064572681343</v>
      </c>
      <c r="L41" s="763">
        <f t="shared" si="4"/>
        <v>0</v>
      </c>
      <c r="M41" s="763">
        <f t="shared" ca="1" si="4"/>
        <v>0</v>
      </c>
      <c r="N41" s="763">
        <f t="shared" si="4"/>
        <v>0</v>
      </c>
      <c r="O41" s="763">
        <f t="shared" ca="1" si="4"/>
        <v>0</v>
      </c>
      <c r="P41" s="763">
        <f t="shared" si="4"/>
        <v>0</v>
      </c>
      <c r="Q41" s="764">
        <f t="shared" si="4"/>
        <v>0</v>
      </c>
      <c r="R41" s="765">
        <f t="shared" ca="1" si="4"/>
        <v>35056.149329620392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305.02504415003972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305.02504415003972</v>
      </c>
    </row>
    <row r="45" spans="1:18" ht="15" thickBot="1">
      <c r="A45" s="888" t="s">
        <v>307</v>
      </c>
      <c r="B45" s="898"/>
      <c r="C45" s="727">
        <f ca="1">transport!B18</f>
        <v>5.3280477606083956</v>
      </c>
      <c r="D45" s="727">
        <f>transport!C18</f>
        <v>0</v>
      </c>
      <c r="E45" s="727">
        <f>transport!D18</f>
        <v>27.817325222139125</v>
      </c>
      <c r="F45" s="727">
        <f>transport!E18</f>
        <v>42.339897983454193</v>
      </c>
      <c r="G45" s="727">
        <f>transport!F18</f>
        <v>0</v>
      </c>
      <c r="H45" s="727">
        <f>transport!G18</f>
        <v>16443.838385103765</v>
      </c>
      <c r="I45" s="727">
        <f>transport!H18</f>
        <v>3887.656587948944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20406.980244018909</v>
      </c>
    </row>
    <row r="46" spans="1:18" ht="15.75" thickBot="1">
      <c r="A46" s="886" t="s">
        <v>230</v>
      </c>
      <c r="B46" s="899"/>
      <c r="C46" s="763">
        <f t="shared" ref="C46:R46" ca="1" si="5">SUM(C43:C45)</f>
        <v>5.3280477606083956</v>
      </c>
      <c r="D46" s="763">
        <f t="shared" ca="1" si="5"/>
        <v>0</v>
      </c>
      <c r="E46" s="763">
        <f t="shared" si="5"/>
        <v>27.817325222139125</v>
      </c>
      <c r="F46" s="763">
        <f t="shared" si="5"/>
        <v>42.339897983454193</v>
      </c>
      <c r="G46" s="763">
        <f t="shared" si="5"/>
        <v>0</v>
      </c>
      <c r="H46" s="763">
        <f t="shared" si="5"/>
        <v>16748.863429253804</v>
      </c>
      <c r="I46" s="763">
        <f t="shared" si="5"/>
        <v>3887.656587948944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20712.005288168948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163.56770375657842</v>
      </c>
      <c r="D48" s="718">
        <f ca="1">+landbouw!C12</f>
        <v>2454.6828725932451</v>
      </c>
      <c r="E48" s="718">
        <f>+landbouw!D12</f>
        <v>0</v>
      </c>
      <c r="F48" s="718">
        <f>+landbouw!E12</f>
        <v>8.9271797252103546</v>
      </c>
      <c r="G48" s="718">
        <f>+landbouw!F12</f>
        <v>1488.2250042583119</v>
      </c>
      <c r="H48" s="718">
        <f>+landbouw!G12</f>
        <v>0</v>
      </c>
      <c r="I48" s="718">
        <f>+landbouw!H12</f>
        <v>0</v>
      </c>
      <c r="J48" s="718">
        <f>+landbouw!I12</f>
        <v>0</v>
      </c>
      <c r="K48" s="718">
        <f>+landbouw!J12</f>
        <v>68.620042136061741</v>
      </c>
      <c r="L48" s="718">
        <f>+landbouw!K12</f>
        <v>0</v>
      </c>
      <c r="M48" s="718">
        <f>+landbouw!L12</f>
        <v>0</v>
      </c>
      <c r="N48" s="718">
        <f>+landbouw!M12</f>
        <v>0</v>
      </c>
      <c r="O48" s="718">
        <f>+landbouw!N12</f>
        <v>0</v>
      </c>
      <c r="P48" s="718">
        <f>+landbouw!O12</f>
        <v>0</v>
      </c>
      <c r="Q48" s="719">
        <f>+landbouw!P12</f>
        <v>0</v>
      </c>
      <c r="R48" s="761">
        <f ca="1">SUM(C48:Q48)</f>
        <v>4184.022802469407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5353.0975808723379</v>
      </c>
      <c r="D53" s="773">
        <f t="shared" ref="D53:Q53" ca="1" si="6">D41+D46+D48</f>
        <v>2493.2571428571437</v>
      </c>
      <c r="E53" s="773">
        <f t="shared" ca="1" si="6"/>
        <v>9842.2502369037247</v>
      </c>
      <c r="F53" s="773">
        <f t="shared" si="6"/>
        <v>2143.3044328145693</v>
      </c>
      <c r="G53" s="773">
        <f t="shared" ca="1" si="6"/>
        <v>18881.821510204027</v>
      </c>
      <c r="H53" s="773">
        <f t="shared" si="6"/>
        <v>16748.863429253804</v>
      </c>
      <c r="I53" s="773">
        <f t="shared" si="6"/>
        <v>3887.656587948944</v>
      </c>
      <c r="J53" s="773">
        <f t="shared" si="6"/>
        <v>0</v>
      </c>
      <c r="K53" s="773">
        <f t="shared" si="6"/>
        <v>601.92649940419608</v>
      </c>
      <c r="L53" s="773">
        <f t="shared" si="6"/>
        <v>0</v>
      </c>
      <c r="M53" s="773">
        <f t="shared" ca="1" si="6"/>
        <v>0</v>
      </c>
      <c r="N53" s="773">
        <f t="shared" si="6"/>
        <v>0</v>
      </c>
      <c r="O53" s="773">
        <f t="shared" ca="1" si="6"/>
        <v>0</v>
      </c>
      <c r="P53" s="773">
        <f>P41+P46+P48</f>
        <v>0</v>
      </c>
      <c r="Q53" s="774">
        <f t="shared" si="6"/>
        <v>0</v>
      </c>
      <c r="R53" s="775">
        <f ca="1">R41+R46+R48</f>
        <v>59952.177420258748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0.12225140346060057</v>
      </c>
      <c r="D55" s="836">
        <f t="shared" ca="1" si="7"/>
        <v>8.5720600586441154E-2</v>
      </c>
      <c r="E55" s="836">
        <f t="shared" ca="1" si="7"/>
        <v>0.20199999999999999</v>
      </c>
      <c r="F55" s="836">
        <f t="shared" si="7"/>
        <v>0.22699999999999995</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5761.550148853923</v>
      </c>
      <c r="C66" s="795">
        <f>'lokale energieproductie'!B6</f>
        <v>5761.550148853923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20360.099999999999</v>
      </c>
      <c r="C67" s="794">
        <f>B67*IFERROR(SUM(J67:L67)/SUM(D67:M67),0)</f>
        <v>13016.1</v>
      </c>
      <c r="D67" s="826">
        <f>'lokale energieproductie'!C7</f>
        <v>8640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15313.058823529414</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1745.2800000000002</v>
      </c>
      <c r="P67" s="922">
        <v>0</v>
      </c>
      <c r="Q67" s="785"/>
      <c r="R67" s="742"/>
    </row>
    <row r="68" spans="1:18" ht="30.75" thickBot="1">
      <c r="A68" s="801" t="s">
        <v>353</v>
      </c>
      <c r="B68" s="794">
        <f>'lokale energieproductie'!B8</f>
        <v>1341</v>
      </c>
      <c r="C68" s="794">
        <f>B68*IFERROR(SUM(J68:L68)/SUM(D68:M68),0)</f>
        <v>1341</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3831.4285714285716</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27462.650148853922</v>
      </c>
      <c r="C69" s="803">
        <f>SUM(C64:C68)</f>
        <v>20118.650148853922</v>
      </c>
      <c r="D69" s="804">
        <f t="shared" ref="D69:M69" si="8">SUM(D67:D68)</f>
        <v>8640</v>
      </c>
      <c r="E69" s="804">
        <f t="shared" si="8"/>
        <v>0</v>
      </c>
      <c r="F69" s="804">
        <f t="shared" si="8"/>
        <v>0</v>
      </c>
      <c r="G69" s="804">
        <f t="shared" si="8"/>
        <v>0</v>
      </c>
      <c r="H69" s="804">
        <f t="shared" si="8"/>
        <v>0</v>
      </c>
      <c r="I69" s="804">
        <f t="shared" si="8"/>
        <v>0</v>
      </c>
      <c r="J69" s="804">
        <f t="shared" si="8"/>
        <v>0</v>
      </c>
      <c r="K69" s="804">
        <f t="shared" si="8"/>
        <v>19144.487394957985</v>
      </c>
      <c r="L69" s="804">
        <f t="shared" si="8"/>
        <v>0</v>
      </c>
      <c r="M69" s="930">
        <f t="shared" si="8"/>
        <v>0</v>
      </c>
      <c r="N69" s="805">
        <v>0</v>
      </c>
      <c r="O69" s="805">
        <f>SUM(O67:O68)</f>
        <v>1745.2800000000002</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29085.857142857145</v>
      </c>
      <c r="C78" s="817">
        <f>B78*IFERROR(SUM(I78:L78)/SUM(D78:M78),0)</f>
        <v>18594.428571428576</v>
      </c>
      <c r="D78" s="832">
        <f>'lokale energieproductie'!C16</f>
        <v>12342.857142857145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21875.798319327736</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2493.2571428571437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29085.857142857145</v>
      </c>
      <c r="C81" s="803">
        <f>SUM(C78:C80)</f>
        <v>18594.428571428576</v>
      </c>
      <c r="D81" s="803">
        <f t="shared" ref="D81:P81" si="9">SUM(D78:D80)</f>
        <v>12342.857142857145</v>
      </c>
      <c r="E81" s="803">
        <f t="shared" si="9"/>
        <v>0</v>
      </c>
      <c r="F81" s="803">
        <f t="shared" si="9"/>
        <v>0</v>
      </c>
      <c r="G81" s="803">
        <f t="shared" si="9"/>
        <v>0</v>
      </c>
      <c r="H81" s="803">
        <f t="shared" si="9"/>
        <v>0</v>
      </c>
      <c r="I81" s="803">
        <f t="shared" si="9"/>
        <v>0</v>
      </c>
      <c r="J81" s="803">
        <f t="shared" si="9"/>
        <v>0</v>
      </c>
      <c r="K81" s="803">
        <f t="shared" si="9"/>
        <v>21875.798319327736</v>
      </c>
      <c r="L81" s="803">
        <f t="shared" si="9"/>
        <v>0</v>
      </c>
      <c r="M81" s="803">
        <f t="shared" si="9"/>
        <v>0</v>
      </c>
      <c r="N81" s="803">
        <v>0</v>
      </c>
      <c r="O81" s="803">
        <f>SUM(O78:O80)</f>
        <v>2493.2571428571437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25867.828742666599</v>
      </c>
      <c r="C4" s="478">
        <f>huishoudens!C8</f>
        <v>0</v>
      </c>
      <c r="D4" s="478">
        <f>huishoudens!D8</f>
        <v>32250.595772498778</v>
      </c>
      <c r="E4" s="478">
        <f>huishoudens!E8</f>
        <v>8761.5905467966822</v>
      </c>
      <c r="F4" s="478">
        <f>huishoudens!F8</f>
        <v>62165.542712218929</v>
      </c>
      <c r="G4" s="478">
        <f>huishoudens!G8</f>
        <v>0</v>
      </c>
      <c r="H4" s="478">
        <f>huishoudens!H8</f>
        <v>0</v>
      </c>
      <c r="I4" s="478">
        <f>huishoudens!I8</f>
        <v>0</v>
      </c>
      <c r="J4" s="478">
        <f>huishoudens!J8</f>
        <v>1505.6159615140577</v>
      </c>
      <c r="K4" s="478">
        <f>huishoudens!K8</f>
        <v>0</v>
      </c>
      <c r="L4" s="478">
        <f>huishoudens!L8</f>
        <v>0</v>
      </c>
      <c r="M4" s="478">
        <f>huishoudens!M8</f>
        <v>0</v>
      </c>
      <c r="N4" s="478">
        <f>huishoudens!N8</f>
        <v>25668.284603015192</v>
      </c>
      <c r="O4" s="478">
        <f>huishoudens!O8</f>
        <v>282.96333333333337</v>
      </c>
      <c r="P4" s="479">
        <f>huishoudens!P8</f>
        <v>1372.8</v>
      </c>
      <c r="Q4" s="480">
        <f>SUM(B4:P4)</f>
        <v>157875.22167204358</v>
      </c>
    </row>
    <row r="5" spans="1:17">
      <c r="A5" s="477" t="s">
        <v>156</v>
      </c>
      <c r="B5" s="478">
        <f ca="1">tertiair!B16</f>
        <v>14148.655891293296</v>
      </c>
      <c r="C5" s="478">
        <f ca="1">tertiair!C16</f>
        <v>450.00000000000011</v>
      </c>
      <c r="D5" s="478">
        <f ca="1">tertiair!D16</f>
        <v>9146.4519469769784</v>
      </c>
      <c r="E5" s="478">
        <f>tertiair!E16</f>
        <v>174.42456973523568</v>
      </c>
      <c r="F5" s="478">
        <f ca="1">tertiair!F16</f>
        <v>2167.965187082857</v>
      </c>
      <c r="G5" s="478">
        <f>tertiair!G16</f>
        <v>0</v>
      </c>
      <c r="H5" s="478">
        <f>tertiair!H16</f>
        <v>0</v>
      </c>
      <c r="I5" s="478">
        <f>tertiair!I16</f>
        <v>0</v>
      </c>
      <c r="J5" s="478">
        <f>tertiair!J16</f>
        <v>3.0122948959497155E-2</v>
      </c>
      <c r="K5" s="478">
        <f>tertiair!K16</f>
        <v>0</v>
      </c>
      <c r="L5" s="478">
        <f ca="1">tertiair!L16</f>
        <v>0</v>
      </c>
      <c r="M5" s="478">
        <f>tertiair!M16</f>
        <v>0</v>
      </c>
      <c r="N5" s="478">
        <f ca="1">tertiair!N16</f>
        <v>0</v>
      </c>
      <c r="O5" s="478">
        <f>tertiair!O16</f>
        <v>1.5633333333333335</v>
      </c>
      <c r="P5" s="479">
        <f>tertiair!P16</f>
        <v>19.066666666666666</v>
      </c>
      <c r="Q5" s="477">
        <f t="shared" ref="Q5:Q13" ca="1" si="0">SUM(B5:P5)</f>
        <v>26108.157718037324</v>
      </c>
    </row>
    <row r="6" spans="1:17">
      <c r="A6" s="477" t="s">
        <v>194</v>
      </c>
      <c r="B6" s="478">
        <f>'openbare verlichting'!B8</f>
        <v>733.15599999999995</v>
      </c>
      <c r="C6" s="478"/>
      <c r="D6" s="478"/>
      <c r="E6" s="478"/>
      <c r="F6" s="478"/>
      <c r="G6" s="478"/>
      <c r="H6" s="478"/>
      <c r="I6" s="478"/>
      <c r="J6" s="478"/>
      <c r="K6" s="478"/>
      <c r="L6" s="478"/>
      <c r="M6" s="478"/>
      <c r="N6" s="478"/>
      <c r="O6" s="478"/>
      <c r="P6" s="479"/>
      <c r="Q6" s="477">
        <f t="shared" si="0"/>
        <v>733.15599999999995</v>
      </c>
    </row>
    <row r="7" spans="1:17">
      <c r="A7" s="477" t="s">
        <v>112</v>
      </c>
      <c r="B7" s="478">
        <f>landbouw!B8</f>
        <v>1337.9617667071884</v>
      </c>
      <c r="C7" s="478">
        <f>landbouw!C8</f>
        <v>28635.857142857145</v>
      </c>
      <c r="D7" s="478">
        <f>landbouw!D8</f>
        <v>0</v>
      </c>
      <c r="E7" s="478">
        <f>landbouw!E8</f>
        <v>39.326782930442093</v>
      </c>
      <c r="F7" s="478">
        <f>landbouw!F8</f>
        <v>5573.8764204431154</v>
      </c>
      <c r="G7" s="478">
        <f>landbouw!G8</f>
        <v>0</v>
      </c>
      <c r="H7" s="478">
        <f>landbouw!H8</f>
        <v>0</v>
      </c>
      <c r="I7" s="478">
        <f>landbouw!I8</f>
        <v>0</v>
      </c>
      <c r="J7" s="478">
        <f>landbouw!J8</f>
        <v>193.84192693802751</v>
      </c>
      <c r="K7" s="478">
        <f>landbouw!K8</f>
        <v>0</v>
      </c>
      <c r="L7" s="478">
        <f>landbouw!L8</f>
        <v>0</v>
      </c>
      <c r="M7" s="478">
        <f>landbouw!M8</f>
        <v>0</v>
      </c>
      <c r="N7" s="478">
        <f>landbouw!N8</f>
        <v>0</v>
      </c>
      <c r="O7" s="478">
        <f>landbouw!O8</f>
        <v>0</v>
      </c>
      <c r="P7" s="479">
        <f>landbouw!P8</f>
        <v>0</v>
      </c>
      <c r="Q7" s="477">
        <f t="shared" si="0"/>
        <v>35780.864039875916</v>
      </c>
    </row>
    <row r="8" spans="1:17">
      <c r="A8" s="477" t="s">
        <v>635</v>
      </c>
      <c r="B8" s="478">
        <f>industrie!B18</f>
        <v>1656.4314650481695</v>
      </c>
      <c r="C8" s="478">
        <f>industrie!C18</f>
        <v>0</v>
      </c>
      <c r="D8" s="478">
        <f>industrie!D18</f>
        <v>7189.2538235023967</v>
      </c>
      <c r="E8" s="478">
        <f>industrie!E18</f>
        <v>280.00847424299263</v>
      </c>
      <c r="F8" s="478">
        <f>industrie!F18</f>
        <v>811.04830274208518</v>
      </c>
      <c r="G8" s="478">
        <f>industrie!G18</f>
        <v>0</v>
      </c>
      <c r="H8" s="478">
        <f>industrie!H18</f>
        <v>0</v>
      </c>
      <c r="I8" s="478">
        <f>industrie!I18</f>
        <v>0</v>
      </c>
      <c r="J8" s="478">
        <f>industrie!J18</f>
        <v>0.86933154866186324</v>
      </c>
      <c r="K8" s="478">
        <f>industrie!K18</f>
        <v>0</v>
      </c>
      <c r="L8" s="478">
        <f>industrie!L18</f>
        <v>0</v>
      </c>
      <c r="M8" s="478">
        <f>industrie!M18</f>
        <v>0</v>
      </c>
      <c r="N8" s="478">
        <f>industrie!N18</f>
        <v>410.92267922425577</v>
      </c>
      <c r="O8" s="478">
        <f>industrie!O18</f>
        <v>0</v>
      </c>
      <c r="P8" s="479">
        <f>industrie!P18</f>
        <v>0</v>
      </c>
      <c r="Q8" s="477">
        <f t="shared" si="0"/>
        <v>10348.534076308561</v>
      </c>
    </row>
    <row r="9" spans="1:17" s="483" customFormat="1">
      <c r="A9" s="481" t="s">
        <v>561</v>
      </c>
      <c r="B9" s="482">
        <f>transport!B14</f>
        <v>43.582712425264958</v>
      </c>
      <c r="C9" s="482">
        <f>transport!C14</f>
        <v>0</v>
      </c>
      <c r="D9" s="482">
        <f>transport!D14</f>
        <v>137.70953080266892</v>
      </c>
      <c r="E9" s="482">
        <f>transport!E14</f>
        <v>186.51937437645017</v>
      </c>
      <c r="F9" s="482">
        <f>transport!F14</f>
        <v>0</v>
      </c>
      <c r="G9" s="482">
        <f>transport!G14</f>
        <v>61587.409682036574</v>
      </c>
      <c r="H9" s="482">
        <f>transport!H14</f>
        <v>15613.078666461623</v>
      </c>
      <c r="I9" s="482">
        <f>transport!I14</f>
        <v>0</v>
      </c>
      <c r="J9" s="482">
        <f>transport!J14</f>
        <v>0</v>
      </c>
      <c r="K9" s="482">
        <f>transport!K14</f>
        <v>0</v>
      </c>
      <c r="L9" s="482">
        <f>transport!L14</f>
        <v>0</v>
      </c>
      <c r="M9" s="482">
        <f>transport!M14</f>
        <v>4061.6499763822803</v>
      </c>
      <c r="N9" s="482">
        <f>transport!N14</f>
        <v>0</v>
      </c>
      <c r="O9" s="482">
        <f>transport!O14</f>
        <v>0</v>
      </c>
      <c r="P9" s="482">
        <f>transport!P14</f>
        <v>0</v>
      </c>
      <c r="Q9" s="481">
        <f>SUM(B9:P9)</f>
        <v>81629.949942484862</v>
      </c>
    </row>
    <row r="10" spans="1:17">
      <c r="A10" s="477" t="s">
        <v>551</v>
      </c>
      <c r="B10" s="478">
        <f>transport!B54</f>
        <v>0</v>
      </c>
      <c r="C10" s="478">
        <f>transport!C54</f>
        <v>0</v>
      </c>
      <c r="D10" s="478">
        <f>transport!D54</f>
        <v>0</v>
      </c>
      <c r="E10" s="478">
        <f>transport!E54</f>
        <v>0</v>
      </c>
      <c r="F10" s="478">
        <f>transport!F54</f>
        <v>0</v>
      </c>
      <c r="G10" s="478">
        <f>transport!G54</f>
        <v>1142.4158956930326</v>
      </c>
      <c r="H10" s="478">
        <f>transport!H54</f>
        <v>0</v>
      </c>
      <c r="I10" s="478">
        <f>transport!I54</f>
        <v>0</v>
      </c>
      <c r="J10" s="478">
        <f>transport!J54</f>
        <v>0</v>
      </c>
      <c r="K10" s="478">
        <f>transport!K54</f>
        <v>0</v>
      </c>
      <c r="L10" s="478">
        <f>transport!L54</f>
        <v>0</v>
      </c>
      <c r="M10" s="478">
        <f>transport!M54</f>
        <v>64.884179593129758</v>
      </c>
      <c r="N10" s="478">
        <f>transport!N54</f>
        <v>0</v>
      </c>
      <c r="O10" s="478">
        <f>transport!O54</f>
        <v>0</v>
      </c>
      <c r="P10" s="479">
        <f>transport!P54</f>
        <v>0</v>
      </c>
      <c r="Q10" s="477">
        <f t="shared" si="0"/>
        <v>1207.3000752861624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43787.616578140522</v>
      </c>
      <c r="C14" s="488">
        <f t="shared" ref="C14:Q14" ca="1" si="1">SUM(C4:C13)</f>
        <v>29085.857142857145</v>
      </c>
      <c r="D14" s="488">
        <f t="shared" ca="1" si="1"/>
        <v>48724.011073780821</v>
      </c>
      <c r="E14" s="488">
        <f t="shared" si="1"/>
        <v>9441.8697480818046</v>
      </c>
      <c r="F14" s="488">
        <f t="shared" ca="1" si="1"/>
        <v>70718.432622486987</v>
      </c>
      <c r="G14" s="488">
        <f t="shared" si="1"/>
        <v>62729.825577729607</v>
      </c>
      <c r="H14" s="488">
        <f t="shared" si="1"/>
        <v>15613.078666461623</v>
      </c>
      <c r="I14" s="488">
        <f t="shared" si="1"/>
        <v>0</v>
      </c>
      <c r="J14" s="488">
        <f t="shared" si="1"/>
        <v>1700.3573429497064</v>
      </c>
      <c r="K14" s="488">
        <f t="shared" si="1"/>
        <v>0</v>
      </c>
      <c r="L14" s="488">
        <f t="shared" ca="1" si="1"/>
        <v>0</v>
      </c>
      <c r="M14" s="488">
        <f t="shared" si="1"/>
        <v>4126.5341559754097</v>
      </c>
      <c r="N14" s="488">
        <f t="shared" ca="1" si="1"/>
        <v>26079.207282239448</v>
      </c>
      <c r="O14" s="488">
        <f t="shared" si="1"/>
        <v>284.5266666666667</v>
      </c>
      <c r="P14" s="489">
        <f t="shared" si="1"/>
        <v>1391.8666666666666</v>
      </c>
      <c r="Q14" s="489">
        <f t="shared" ca="1" si="1"/>
        <v>313683.18352403643</v>
      </c>
    </row>
    <row r="16" spans="1:17">
      <c r="A16" s="491" t="s">
        <v>556</v>
      </c>
      <c r="B16" s="841">
        <f ca="1">huishoudens!B10</f>
        <v>0.12225140346060057</v>
      </c>
      <c r="C16" s="841">
        <f ca="1">huishoudens!C10</f>
        <v>8.5720600586441154E-2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3162.3783682694543</v>
      </c>
      <c r="C21" s="478">
        <f t="shared" ref="C21:C30" ca="1" si="3">C4*$C$16</f>
        <v>0</v>
      </c>
      <c r="D21" s="478">
        <f t="shared" ref="D21:D30" si="4">D4*$D$16</f>
        <v>6514.6203460447532</v>
      </c>
      <c r="E21" s="478">
        <f t="shared" ref="E21:E30" si="5">E4*$E$16</f>
        <v>1988.881054122847</v>
      </c>
      <c r="F21" s="478">
        <f t="shared" ref="F21:F30" si="6">F4*$F$16</f>
        <v>16598.199904162455</v>
      </c>
      <c r="G21" s="478">
        <f t="shared" ref="G21:G30" si="7">G4*$G$16</f>
        <v>0</v>
      </c>
      <c r="H21" s="478">
        <f t="shared" ref="H21:H30" si="8">H4*$H$16</f>
        <v>0</v>
      </c>
      <c r="I21" s="478">
        <f t="shared" ref="I21:I30" si="9">I4*$I$16</f>
        <v>0</v>
      </c>
      <c r="J21" s="478">
        <f t="shared" ref="J21:J30" si="10">J4*$J$16</f>
        <v>532.9880503759764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28797.067722975487</v>
      </c>
    </row>
    <row r="22" spans="1:17">
      <c r="A22" s="477" t="s">
        <v>156</v>
      </c>
      <c r="B22" s="478">
        <f t="shared" ca="1" si="2"/>
        <v>1729.6930397916999</v>
      </c>
      <c r="C22" s="478">
        <f t="shared" ca="1" si="3"/>
        <v>38.574270263898526</v>
      </c>
      <c r="D22" s="478">
        <f t="shared" ca="1" si="4"/>
        <v>1847.5832932893497</v>
      </c>
      <c r="E22" s="478">
        <f t="shared" si="5"/>
        <v>39.594377329898499</v>
      </c>
      <c r="F22" s="478">
        <f t="shared" ca="1" si="6"/>
        <v>578.84670495112289</v>
      </c>
      <c r="G22" s="478">
        <f t="shared" si="7"/>
        <v>0</v>
      </c>
      <c r="H22" s="478">
        <f t="shared" si="8"/>
        <v>0</v>
      </c>
      <c r="I22" s="478">
        <f t="shared" si="9"/>
        <v>0</v>
      </c>
      <c r="J22" s="478">
        <f t="shared" si="10"/>
        <v>1.0663523931661992E-2</v>
      </c>
      <c r="K22" s="478">
        <f t="shared" si="11"/>
        <v>0</v>
      </c>
      <c r="L22" s="478">
        <f t="shared" ca="1" si="12"/>
        <v>0</v>
      </c>
      <c r="M22" s="478">
        <f t="shared" si="13"/>
        <v>0</v>
      </c>
      <c r="N22" s="478">
        <f t="shared" ca="1" si="14"/>
        <v>0</v>
      </c>
      <c r="O22" s="478">
        <f t="shared" si="15"/>
        <v>0</v>
      </c>
      <c r="P22" s="479">
        <f t="shared" si="16"/>
        <v>0</v>
      </c>
      <c r="Q22" s="477">
        <f t="shared" ref="Q22:Q30" ca="1" si="17">SUM(B22:P22)</f>
        <v>4234.3023491499016</v>
      </c>
    </row>
    <row r="23" spans="1:17">
      <c r="A23" s="477" t="s">
        <v>194</v>
      </c>
      <c r="B23" s="478">
        <f t="shared" ca="1" si="2"/>
        <v>89.629349955560059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89.629349955560059</v>
      </c>
    </row>
    <row r="24" spans="1:17">
      <c r="A24" s="477" t="s">
        <v>112</v>
      </c>
      <c r="B24" s="478">
        <f t="shared" ca="1" si="2"/>
        <v>163.56770375657842</v>
      </c>
      <c r="C24" s="478">
        <f t="shared" ca="1" si="3"/>
        <v>2454.6828725932451</v>
      </c>
      <c r="D24" s="478">
        <f t="shared" si="4"/>
        <v>0</v>
      </c>
      <c r="E24" s="478">
        <f t="shared" si="5"/>
        <v>8.9271797252103546</v>
      </c>
      <c r="F24" s="478">
        <f t="shared" si="6"/>
        <v>1488.2250042583119</v>
      </c>
      <c r="G24" s="478">
        <f t="shared" si="7"/>
        <v>0</v>
      </c>
      <c r="H24" s="478">
        <f t="shared" si="8"/>
        <v>0</v>
      </c>
      <c r="I24" s="478">
        <f t="shared" si="9"/>
        <v>0</v>
      </c>
      <c r="J24" s="478">
        <f t="shared" si="10"/>
        <v>68.620042136061741</v>
      </c>
      <c r="K24" s="478">
        <f t="shared" si="11"/>
        <v>0</v>
      </c>
      <c r="L24" s="478">
        <f t="shared" si="12"/>
        <v>0</v>
      </c>
      <c r="M24" s="478">
        <f t="shared" si="13"/>
        <v>0</v>
      </c>
      <c r="N24" s="478">
        <f t="shared" si="14"/>
        <v>0</v>
      </c>
      <c r="O24" s="478">
        <f t="shared" si="15"/>
        <v>0</v>
      </c>
      <c r="P24" s="479">
        <f t="shared" si="16"/>
        <v>0</v>
      </c>
      <c r="Q24" s="477">
        <f t="shared" ca="1" si="17"/>
        <v>4184.022802469407</v>
      </c>
    </row>
    <row r="25" spans="1:17">
      <c r="A25" s="477" t="s">
        <v>635</v>
      </c>
      <c r="B25" s="478">
        <f t="shared" ca="1" si="2"/>
        <v>202.50107133843744</v>
      </c>
      <c r="C25" s="478">
        <f t="shared" ca="1" si="3"/>
        <v>0</v>
      </c>
      <c r="D25" s="478">
        <f t="shared" si="4"/>
        <v>1452.2292723474843</v>
      </c>
      <c r="E25" s="478">
        <f t="shared" si="5"/>
        <v>63.561923653159333</v>
      </c>
      <c r="F25" s="478">
        <f t="shared" si="6"/>
        <v>216.54989683213677</v>
      </c>
      <c r="G25" s="478">
        <f t="shared" si="7"/>
        <v>0</v>
      </c>
      <c r="H25" s="478">
        <f t="shared" si="8"/>
        <v>0</v>
      </c>
      <c r="I25" s="478">
        <f t="shared" si="9"/>
        <v>0</v>
      </c>
      <c r="J25" s="478">
        <f t="shared" si="10"/>
        <v>0.30774336822629955</v>
      </c>
      <c r="K25" s="478">
        <f t="shared" si="11"/>
        <v>0</v>
      </c>
      <c r="L25" s="478">
        <f t="shared" si="12"/>
        <v>0</v>
      </c>
      <c r="M25" s="478">
        <f t="shared" si="13"/>
        <v>0</v>
      </c>
      <c r="N25" s="478">
        <f t="shared" si="14"/>
        <v>0</v>
      </c>
      <c r="O25" s="478">
        <f t="shared" si="15"/>
        <v>0</v>
      </c>
      <c r="P25" s="479">
        <f t="shared" si="16"/>
        <v>0</v>
      </c>
      <c r="Q25" s="477">
        <f t="shared" ca="1" si="17"/>
        <v>1935.149907539444</v>
      </c>
    </row>
    <row r="26" spans="1:17" s="483" customFormat="1">
      <c r="A26" s="481" t="s">
        <v>561</v>
      </c>
      <c r="B26" s="835">
        <f t="shared" ca="1" si="2"/>
        <v>5.3280477606083956</v>
      </c>
      <c r="C26" s="482">
        <f t="shared" ca="1" si="3"/>
        <v>0</v>
      </c>
      <c r="D26" s="482">
        <f t="shared" si="4"/>
        <v>27.817325222139125</v>
      </c>
      <c r="E26" s="482">
        <f t="shared" si="5"/>
        <v>42.339897983454193</v>
      </c>
      <c r="F26" s="482">
        <f t="shared" si="6"/>
        <v>0</v>
      </c>
      <c r="G26" s="482">
        <f t="shared" si="7"/>
        <v>16443.838385103765</v>
      </c>
      <c r="H26" s="482">
        <f t="shared" si="8"/>
        <v>3887.656587948944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20406.980244018909</v>
      </c>
    </row>
    <row r="27" spans="1:17">
      <c r="A27" s="477" t="s">
        <v>551</v>
      </c>
      <c r="B27" s="478">
        <f t="shared" ca="1" si="2"/>
        <v>0</v>
      </c>
      <c r="C27" s="478">
        <f t="shared" ca="1" si="3"/>
        <v>0</v>
      </c>
      <c r="D27" s="478">
        <f t="shared" si="4"/>
        <v>0</v>
      </c>
      <c r="E27" s="478">
        <f t="shared" si="5"/>
        <v>0</v>
      </c>
      <c r="F27" s="478">
        <f t="shared" si="6"/>
        <v>0</v>
      </c>
      <c r="G27" s="478">
        <f t="shared" si="7"/>
        <v>305.02504415003972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305.02504415003972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5353.0975808723388</v>
      </c>
      <c r="C31" s="488">
        <f t="shared" ca="1" si="18"/>
        <v>2493.2571428571437</v>
      </c>
      <c r="D31" s="488">
        <f t="shared" ca="1" si="18"/>
        <v>9842.2502369037247</v>
      </c>
      <c r="E31" s="488">
        <f t="shared" si="18"/>
        <v>2143.3044328145693</v>
      </c>
      <c r="F31" s="488">
        <f t="shared" ca="1" si="18"/>
        <v>18881.821510204027</v>
      </c>
      <c r="G31" s="488">
        <f t="shared" si="18"/>
        <v>16748.863429253804</v>
      </c>
      <c r="H31" s="488">
        <f t="shared" si="18"/>
        <v>3887.656587948944</v>
      </c>
      <c r="I31" s="488">
        <f t="shared" si="18"/>
        <v>0</v>
      </c>
      <c r="J31" s="488">
        <f t="shared" si="18"/>
        <v>601.92649940419608</v>
      </c>
      <c r="K31" s="488">
        <f t="shared" si="18"/>
        <v>0</v>
      </c>
      <c r="L31" s="488">
        <f t="shared" ca="1" si="18"/>
        <v>0</v>
      </c>
      <c r="M31" s="488">
        <f t="shared" si="18"/>
        <v>0</v>
      </c>
      <c r="N31" s="488">
        <f t="shared" ca="1" si="18"/>
        <v>0</v>
      </c>
      <c r="O31" s="488">
        <f t="shared" si="18"/>
        <v>0</v>
      </c>
      <c r="P31" s="489">
        <f t="shared" si="18"/>
        <v>0</v>
      </c>
      <c r="Q31" s="489">
        <f t="shared" ca="1" si="18"/>
        <v>59952.177420258755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0.12225140346060057</v>
      </c>
      <c r="C17" s="528">
        <f ca="1">'EF ele_warmte'!B22</f>
        <v>8.5720600586441154E-2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0.12225140346060057</v>
      </c>
      <c r="C17" s="528">
        <f ca="1">'EF ele_warmte'!B22</f>
        <v>8.5720600586441154E-2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0.12225140346060057</v>
      </c>
      <c r="C29" s="529">
        <f ca="1">'EF ele_warmte'!B22</f>
        <v>8.5720600586441154E-2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2018-09-06T12:46:20Z</dcterms:modified>
</cp:coreProperties>
</file>