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<sst xmlns="http://schemas.openxmlformats.org/spreadsheetml/2006/main" count="1950" uniqueCount="824">
  <si>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</si>
  <si>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</si>
  <si>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</si>
  <si>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</si>
  <si>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</si>
  <si>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</si>
  <si>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</si>
  <si>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</si>
  <si>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</si>
  <si>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</si>
  <si>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</si>
  <si>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</si>
  <si>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</si>
  <si>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</si>
  <si>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</si>
  <si>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</si>
  <si>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</si>
  <si>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</si>
  <si>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</si>
  <si>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</si>
  <si>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</si>
  <si>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</si>
  <si>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</si>
  <si>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</si>
  <si>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</si>
  <si>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</si>
  <si>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</si>
  <si>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</si>
  <si>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</si>
  <si>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</si>
  <si>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</si>
  <si>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</si>
  <si>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</si>
  <si>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</si>
  <si>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</si>
  <si>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</si>
  <si>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</si>
  <si>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</si>
  <si>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</si>
  <si>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</si>
  <si>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</si>
  <si>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</si>
  <si>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</si>
  <si>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</si>
  <si>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</si>
  <si>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</si>
  <si>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</si>
  <si>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</si>
  <si>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</si>
  <si>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</si>
  <si>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</si>
  <si>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</si>
  <si>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</si>
  <si>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</si>
  <si>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</si>
  <si>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</si>
  <si>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</si>
  <si>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</si>
  <si>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</si>
  <si>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</si>
  <si>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</si>
  <si>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</si>
  <si>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</si>
  <si>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</si>
  <si>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</si>
  <si>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</si>
  <si>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</si>
  <si>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</si>
  <si>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</si>
  <si>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</si>
  <si>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</si>
  <si>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</si>
  <si>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</si>
  <si>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</si>
  <si>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</si>
  <si>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</si>
  <si>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</si>
  <si>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</si>
  <si>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</si>
  <si>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</si>
  <si>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</si>
  <si>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</si>
  <si>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</si>
  <si>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</si>
  <si>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</si>
  <si>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</si>
  <si>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</si>
  <si>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</si>
  <si>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</si>
  <si>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</si>
  <si>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</si>
  <si>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</si>
  <si>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</si>
  <si>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</si>
  <si>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</si>
  <si>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</si>
  <si>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</si>
  <si>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</si>
  <si>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</si>
  <si>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</si>
  <si>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</si>
  <si>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</si>
  <si>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</si>
  <si>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</si>
  <si>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</si>
  <si>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</si>
  <si>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</si>
  <si>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</si>
  <si>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</si>
  <si>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</si>
  <si>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</si>
  <si>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</si>
  <si>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</si>
  <si>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</si>
  <si>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</si>
  <si>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</si>
  <si>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</si>
  <si>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</si>
  <si>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</si>
  <si>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</si>
  <si>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</si>
  <si>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</si>
  <si>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</si>
  <si>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</si>
  <si>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</si>
  <si>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</si>
  <si>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</si>
  <si>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</si>
  <si>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</si>
  <si>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</si>
  <si>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</si>
  <si>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</si>
  <si>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</si>
  <si>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</si>
  <si>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</si>
  <si>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</si>
  <si>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</si>
  <si>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</si>
  <si>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</si>
  <si>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</si>
  <si>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</si>
  <si>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</si>
  <si>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</si>
  <si>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</si>
  <si>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</si>
  <si>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</si>
  <si>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</si>
  <si>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</si>
  <si>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</si>
  <si>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</si>
  <si>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</si>
  <si>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</si>
  <si>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</si>
  <si>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</si>
  <si>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</si>
  <si>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</si>
  <si>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</si>
  <si>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</si>
  <si>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</si>
  <si>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</si>
  <si>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</si>
  <si>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</si>
  <si>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</si>
  <si>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</si>
  <si>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</si>
  <si>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</si>
  <si>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</si>
  <si>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</si>
  <si>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</si>
  <si>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</si>
  <si>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</si>
  <si>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</si>
  <si>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</si>
  <si>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</si>
  <si>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</si>
  <si>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</si>
  <si>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</si>
  <si>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</si>
  <si>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</si>
  <si>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</si>
  <si>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</si>
  <si>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</si>
  <si>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</si>
  <si>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</si>
  <si>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</si>
  <si>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</si>
  <si>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</si>
  <si>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</si>
  <si>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</si>
  <si>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</si>
  <si>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</si>
  <si>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</si>
  <si>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</si>
  <si>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</si>
  <si>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</si>
  <si>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</si>
  <si>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</si>
  <si>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</si>
  <si>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</si>
  <si>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</si>
  <si>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</si>
  <si>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</si>
  <si>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</si>
  <si>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</si>
  <si>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</si>
  <si>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</si>
  <si>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</si>
  <si>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</si>
  <si>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</si>
  <si>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</si>
  <si>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</si>
  <si>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</si>
  <si>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</si>
  <si>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</si>
  <si>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</si>
  <si>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</si>
  <si>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</si>
  <si>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</si>
  <si>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</si>
  <si>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</si>
  <si>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</si>
  <si>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</si>
  <si>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</si>
  <si>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</si>
  <si>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</si>
  <si>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</si>
  <si>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</si>
  <si>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</si>
  <si>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</si>
  <si>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</si>
  <si>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</si>
  <si>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</si>
  <si>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</si>
  <si>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</si>
  <si>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</si>
  <si>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</si>
  <si>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</si>
  <si>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</si>
  <si>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</si>
  <si>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</si>
  <si>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</si>
  <si>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</si>
  <si>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</si>
  <si>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</si>
  <si>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</si>
  <si>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</si>
  <si>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</si>
  <si>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</si>
  <si>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</si>
  <si>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</si>
  <si>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</si>
  <si>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</si>
  <si>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</si>
  <si>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</si>
  <si>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</si>
  <si>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</si>
  <si>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</si>
  <si>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</si>
  <si>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</si>
  <si>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</si>
  <si>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</si>
  <si>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</si>
  <si>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</si>
  <si>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</si>
  <si>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</si>
  <si>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</si>
  <si>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</si>
  <si>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</si>
  <si>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</si>
  <si>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</si>
  <si>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</si>
  <si>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</si>
  <si>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</si>
  <si>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</si>
  <si>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</si>
  <si>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</si>
  <si>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</si>
  <si>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</si>
  <si>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</si>
  <si>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</si>
  <si>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</si>
  <si>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</si>
  <si>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</si>
  <si>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</si>
  <si>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</si>
  <si>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</si>
  <si>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</si>
  <si>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</si>
  <si>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</si>
  <si>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</si>
  <si>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</si>
  <si>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</si>
  <si>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</si>
  <si>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</si>
  <si>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</si>
  <si>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</si>
  <si>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</si>
  <si>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</si>
  <si>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</si>
  <si>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</si>
  <si>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</si>
  <si>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</si>
  <si>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</si>
  <si>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</si>
  <si>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</si>
  <si>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</si>
  <si>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</si>
  <si>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</si>
  <si>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</si>
  <si>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</si>
  <si>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</si>
  <si>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</si>
  <si>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</si>
  <si>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</si>
  <si>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</si>
  <si>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</si>
  <si>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</si>
  <si>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</si>
  <si>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</si>
  <si>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</si>
  <si>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</si>
  <si>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</si>
  <si>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</si>
  <si>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</si>
  <si>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</si>
  <si>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</si>
  <si>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</si>
  <si>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</si>
  <si>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</si>
  <si>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</si>
  <si>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</si>
  <si>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</si>
  <si>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</si>
  <si>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</si>
  <si>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</si>
  <si>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</si>
  <si>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</si>
  <si>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</si>
  <si>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</si>
  <si>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</si>
  <si>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</si>
  <si>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</si>
  <si>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</si>
  <si>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</si>
  <si>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</si>
  <si>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</si>
  <si>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</si>
  <si>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</si>
  <si>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</si>
  <si>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</si>
  <si>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</si>
  <si>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</si>
  <si>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</si>
  <si>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</si>
  <si>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</si>
  <si>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</si>
  <si>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</si>
  <si>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</si>
  <si>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</si>
  <si>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</si>
  <si>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</si>
  <si>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</si>
  <si>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</si>
  <si>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</si>
  <si>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</si>
  <si>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</si>
  <si>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</si>
  <si>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</si>
  <si>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</si>
  <si>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</si>
  <si>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</si>
  <si>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</si>
  <si>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</si>
  <si>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</si>
  <si>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</si>
  <si>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</si>
  <si>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</si>
  <si>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</si>
  <si>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</si>
  <si>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</si>
  <si>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</si>
  <si>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</si>
  <si>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</si>
  <si>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</si>
  <si>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</si>
  <si>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</si>
  <si>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</si>
  <si>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</si>
  <si>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</si>
  <si>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</si>
  <si>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</si>
  <si>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</si>
  <si>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</si>
  <si>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</si>
  <si>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</si>
  <si>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</si>
  <si>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</si>
  <si>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</si>
  <si>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</si>
  <si>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</si>
  <si>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</si>
  <si>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</si>
  <si>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</si>
  <si>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</si>
  <si>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</si>
  <si>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</si>
  <si>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</si>
  <si>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</si>
  <si>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</si>
  <si>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</si>
  <si>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</si>
  <si>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</si>
  <si>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</si>
  <si>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</si>
  <si>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</si>
  <si>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</si>
  <si>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</si>
  <si>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</si>
  <si>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</si>
  <si>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</si>
  <si>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</si>
  <si>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</si>
  <si>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</si>
  <si>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</si>
  <si>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</si>
  <si>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</si>
  <si>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</si>
  <si>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</si>
  <si>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</si>
  <si>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</si>
  <si>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</si>
  <si>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</si>
  <si>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</si>
  <si>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</si>
  <si>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</si>
  <si>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</si>
  <si>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</si>
  <si>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</si>
  <si>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</si>
  <si>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</si>
  <si>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</si>
  <si>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</si>
  <si>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</si>
  <si>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</si>
  <si>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</si>
  <si>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</si>
  <si>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</si>
  <si>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</si>
  <si>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</si>
  <si>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</si>
  <si>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</si>
  <si>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</si>
  <si>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</si>
  <si>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</si>
  <si>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</si>
  <si>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</si>
  <si>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</si>
  <si>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</si>
  <si>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</si>
  <si>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</si>
  <si>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</si>
  <si>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</si>
  <si>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</si>
  <si>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</si>
  <si>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</si>
  <si>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</si>
  <si>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</si>
  <si>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</si>
  <si>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</si>
  <si>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</si>
  <si>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</si>
  <si>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</si>
  <si>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</si>
  <si>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</si>
  <si>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</si>
  <si>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</si>
  <si>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</si>
  <si>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</si>
  <si>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</si>
  <si>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</si>
  <si>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</si>
  <si>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</si>
  <si>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</si>
  <si>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</si>
  <si>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</si>
  <si>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</si>
  <si>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</si>
  <si>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</si>
  <si>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</si>
  <si>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</si>
  <si>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</si>
  <si>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</si>
  <si>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</si>
  <si>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</si>
  <si>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</si>
  <si>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</si>
  <si>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</si>
  <si>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</si>
  <si>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</si>
  <si>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</si>
  <si>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</si>
  <si>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</si>
  <si>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</si>
  <si>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</si>
  <si>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</si>
  <si>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</si>
  <si>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</si>
  <si>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</si>
  <si>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</si>
  <si>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</si>
  <si>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</si>
  <si>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</si>
  <si>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</si>
  <si>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</si>
  <si>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</si>
  <si>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</si>
  <si>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</si>
  <si>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</si>
  <si>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</si>
  <si>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</si>
  <si>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</si>
  <si>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</si>
  <si>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</si>
  <si>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</si>
  <si>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</si>
  <si>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</si>
  <si>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</si>
  <si>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</si>
  <si>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</si>
  <si>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</si>
  <si>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</si>
  <si>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</si>
  <si>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</si>
  <si>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</si>
  <si>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</si>
  <si>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</si>
  <si>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</si>
  <si>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</si>
  <si>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</si>
  <si>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</si>
  <si>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</si>
  <si>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</si>
  <si>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</si>
  <si>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</si>
  <si>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</si>
  <si>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</si>
  <si>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</si>
  <si>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</si>
  <si>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</si>
  <si>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</si>
  <si>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</si>
  <si>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</si>
  <si>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</si>
  <si>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</si>
  <si>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</si>
  <si>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</si>
  <si>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</si>
  <si>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</si>
  <si>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</si>
  <si>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</si>
  <si>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</si>
  <si>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</si>
  <si>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</si>
  <si>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</si>
  <si>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</si>
  <si>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</si>
  <si>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</si>
  <si>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</si>
  <si>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</si>
  <si>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</si>
  <si>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</si>
  <si>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</si>
  <si>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</si>
  <si>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</si>
  <si>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</si>
  <si>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</si>
  <si>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</si>
  <si>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</si>
  <si>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</si>
  <si>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</si>
  <si>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</si>
  <si>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</si>
  <si>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</si>
  <si>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</si>
  <si>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</si>
  <si>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</si>
  <si>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</si>
  <si>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</si>
  <si>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</si>
  <si>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</si>
  <si>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</si>
  <si>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</si>
  <si>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</si>
  <si>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</si>
  <si>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</si>
  <si>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</si>
  <si>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</si>
  <si>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</si>
  <si>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</si>
  <si>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</si>
  <si>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</si>
  <si>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</si>
  <si>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</si>
  <si>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</si>
  <si>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</si>
  <si>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</si>
  <si>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</si>
  <si>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</si>
  <si>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</si>
  <si>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</si>
  <si>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</si>
  <si>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</si>
  <si>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</si>
  <si>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</si>
  <si>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</si>
  <si>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</si>
  <si>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</si>
  <si>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</si>
  <si>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</si>
  <si>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</si>
  <si>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</si>
  <si>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</si>
  <si>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</si>
  <si>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</si>
  <si>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</si>
  <si>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</si>
  <si>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</si>
  <si>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</si>
  <si>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</si>
  <si>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</si>
  <si>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</si>
  <si>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</si>
  <si>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</si>
  <si>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</si>
  <si>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</si>
  <si>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</si>
  <si>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</si>
  <si>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</si>
  <si>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</si>
  <si>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</si>
  <si>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</si>
  <si>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</si>
  <si>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</si>
  <si>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</si>
  <si>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</si>
  <si>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</si>
  <si>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</si>
  <si>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</si>
  <si>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</si>
  <si>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</si>
  <si>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</si>
  <si>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</si>
  <si>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</si>
  <si>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</si>
  <si>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</si>
  <si>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</si>
  <si>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</si>
  <si>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</si>
  <si>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</si>
  <si>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</si>
  <si>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</si>
  <si>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</si>
  <si>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</si>
  <si>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</si>
  <si>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</si>
  <si>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</si>
  <si>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</si>
  <si>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</si>
  <si>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</si>
  <si>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</si>
  <si>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</si>
  <si>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</si>
  <si>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</si>
  <si>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</si>
  <si>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</si>
  <si>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</si>
  <si>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</si>
  <si>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</si>
  <si>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</si>
  <si>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</si>
  <si>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</si>
  <si>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</si>
  <si>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</si>
  <si>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</si>
  <si>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</si>
  <si>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</si>
  <si>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</si>
  <si>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</si>
  <si>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</si>
  <si>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</si>
  <si>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</si>
  <si>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</si>
  <si>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</si>
  <si>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</si>
  <si>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</si>
  <si>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</si>
  <si>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</si>
  <si>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</si>
  <si>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</si>
  <si>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</si>
  <si>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</si>
  <si>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</si>
  <si>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</si>
  <si>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</si>
  <si>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</si>
  <si>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</si>
  <si>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</si>
  <si>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</si>
  <si>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</si>
  <si>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</si>
  <si>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</si>
  <si>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</si>
  <si>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</si>
  <si>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</si>
  <si>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</si>
  <si>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</si>
  <si>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</si>
  <si>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</si>
  <si>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</si>
  <si>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</si>
  <si>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</si>
  <si>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</si>
  <si>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</si>
  <si>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</si>
  <si>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</si>
  <si>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</si>
  <si>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</si>
  <si>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</si>
  <si>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</si>
  <si>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</si>
  <si>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</si>
  <si>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</si>
  <si>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</si>
  <si>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</si>
  <si>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</si>
  <si>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</si>
  <si>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</si>
  <si>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</si>
  <si>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</si>
  <si>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</si>
  <si>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</si>
  <si>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</si>
  <si>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</si>
  <si>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</si>
  <si>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</si>
  <si>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</si>
  <si>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</si>
  <si>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</si>
  <si>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</si>
  <si>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</si>
  <si>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</si>
  <si>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</si>
  <si>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</si>
  <si>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</si>
  <si>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</si>
  <si>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</si>
  <si>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</si>
  <si>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</si>
  <si>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</si>
  <si>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</si>
  <si>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</si>
  <si>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</si>
  <si>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</si>
  <si>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</si>
  <si>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</si>
  <si>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</si>
  <si>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</si>
  <si>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</si>
  <si>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</si>
  <si>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</si>
  <si>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</si>
  <si>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</si>
  <si>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</si>
  <si>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</si>
  <si>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</si>
  <si>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</si>
  <si>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</si>
  <si>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</si>
  <si>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</si>
  <si>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</si>
  <si>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</si>
  <si>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</si>
  <si>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</si>
  <si>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</si>
  <si>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</si>
  <si>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</si>
  <si>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</si>
  <si>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</si>
  <si>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</si>
  <si>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</si>
  <si>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</si>
  <si>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</si>
  <si>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</si>
  <si>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</si>
  <si>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</si>
  <si>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</si>
  <si>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</si>
  <si>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</si>
  <si>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</si>
  <si>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</si>
  <si>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</si>
  <si>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13004</t>
  </si>
  <si>
    <t>BEERSE</t>
  </si>
  <si>
    <t>Eandis (januari 2018); Infrax (juni 2018)</t>
  </si>
  <si>
    <t>MOW (september 2017)</t>
  </si>
  <si>
    <t>referentietaak LNE (2017); Jaarverslag De Lijn (2016)</t>
  </si>
  <si>
    <t>VEA (april 2018)</t>
  </si>
  <si>
    <t>VEA (januari 2017)</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</si>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</sst>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152101.50571828894</c:v>
                </c:pt>
                <c:pt idx="1">
                  <c:v>37655.809422240149</c:v>
                </c:pt>
                <c:pt idx="2">
                  <c:v>863.63</c:v>
                </c:pt>
                <c:pt idx="3">
                  <c:v>36483.102742999239</c:v>
                </c:pt>
                <c:pt idx="4">
                  <c:v>725053.77848481783</c:v>
                </c:pt>
                <c:pt idx="5">
                  <c:v>56763.287689285222</c:v>
                </c:pt>
                <c:pt idx="6">
                  <c:v>2665.6761179272403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152101.50571828894</c:v>
                </c:pt>
                <c:pt idx="1">
                  <c:v>37655.809422240149</c:v>
                </c:pt>
                <c:pt idx="2">
                  <c:v>863.63</c:v>
                </c:pt>
                <c:pt idx="3">
                  <c:v>36483.102742999239</c:v>
                </c:pt>
                <c:pt idx="4">
                  <c:v>725053.77848481783</c:v>
                </c:pt>
                <c:pt idx="5">
                  <c:v>56763.287689285222</c:v>
                </c:pt>
                <c:pt idx="6">
                  <c:v>2665.6761179272403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24494.239584450606</c:v>
                </c:pt>
                <c:pt idx="1">
                  <c:v>7702.480655630302</c:v>
                </c:pt>
                <c:pt idx="2">
                  <c:v>185.55336515549249</c:v>
                </c:pt>
                <c:pt idx="3">
                  <c:v>8813.1107549439694</c:v>
                </c:pt>
                <c:pt idx="4">
                  <c:v>153282.30321617384</c:v>
                </c:pt>
                <c:pt idx="5">
                  <c:v>14202.870348726028</c:v>
                </c:pt>
                <c:pt idx="6">
                  <c:v>673.48457289521582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24494.239584450606</c:v>
                </c:pt>
                <c:pt idx="1">
                  <c:v>7702.480655630302</c:v>
                </c:pt>
                <c:pt idx="2">
                  <c:v>185.55336515549249</c:v>
                </c:pt>
                <c:pt idx="3">
                  <c:v>8813.1107549439694</c:v>
                </c:pt>
                <c:pt idx="4">
                  <c:v>153282.30321617384</c:v>
                </c:pt>
                <c:pt idx="5">
                  <c:v>14202.870348726028</c:v>
                </c:pt>
                <c:pt idx="6">
                  <c:v>673.48457289521582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13004</v>
      </c>
      <c r="B6" s="415"/>
      <c r="C6" s="416"/>
    </row>
    <row r="7" spans="1:7" s="413" customFormat="1" ht="15.75" customHeight="1">
      <c r="A7" s="417" t="str">
        <f>txtMunicipality</f>
        <v>BEERSE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7079</v>
      </c>
      <c r="C9" s="342">
        <v>7178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1456.87</v>
      </c>
    </row>
    <row r="15" spans="1:6">
      <c r="A15" s="348" t="s">
        <v>184</v>
      </c>
      <c r="B15" s="334">
        <v>3073</v>
      </c>
    </row>
    <row r="16" spans="1:6">
      <c r="A16" s="348" t="s">
        <v>6</v>
      </c>
      <c r="B16" s="334">
        <v>889</v>
      </c>
    </row>
    <row r="17" spans="1:6">
      <c r="A17" s="348" t="s">
        <v>7</v>
      </c>
      <c r="B17" s="334">
        <v>348</v>
      </c>
    </row>
    <row r="18" spans="1:6">
      <c r="A18" s="348" t="s">
        <v>8</v>
      </c>
      <c r="B18" s="334">
        <v>543</v>
      </c>
    </row>
    <row r="19" spans="1:6">
      <c r="A19" s="348" t="s">
        <v>9</v>
      </c>
      <c r="B19" s="334">
        <v>450</v>
      </c>
    </row>
    <row r="20" spans="1:6">
      <c r="A20" s="348" t="s">
        <v>10</v>
      </c>
      <c r="B20" s="334">
        <v>473</v>
      </c>
    </row>
    <row r="21" spans="1:6">
      <c r="A21" s="348" t="s">
        <v>11</v>
      </c>
      <c r="B21" s="334">
        <v>0</v>
      </c>
    </row>
    <row r="22" spans="1:6">
      <c r="A22" s="348" t="s">
        <v>12</v>
      </c>
      <c r="B22" s="334">
        <v>2015</v>
      </c>
    </row>
    <row r="23" spans="1:6">
      <c r="A23" s="348" t="s">
        <v>13</v>
      </c>
      <c r="B23" s="334">
        <v>0</v>
      </c>
    </row>
    <row r="24" spans="1:6">
      <c r="A24" s="348" t="s">
        <v>14</v>
      </c>
      <c r="B24" s="334">
        <v>0</v>
      </c>
    </row>
    <row r="25" spans="1:6">
      <c r="A25" s="348" t="s">
        <v>15</v>
      </c>
      <c r="B25" s="334">
        <v>0</v>
      </c>
    </row>
    <row r="26" spans="1:6">
      <c r="A26" s="348" t="s">
        <v>16</v>
      </c>
      <c r="B26" s="334">
        <v>20</v>
      </c>
    </row>
    <row r="27" spans="1:6">
      <c r="A27" s="348" t="s">
        <v>17</v>
      </c>
      <c r="B27" s="334">
        <v>21</v>
      </c>
    </row>
    <row r="28" spans="1:6" s="356" customFormat="1">
      <c r="A28" s="355" t="s">
        <v>18</v>
      </c>
      <c r="B28" s="355">
        <v>179269</v>
      </c>
    </row>
    <row r="29" spans="1:6">
      <c r="A29" s="355" t="s">
        <v>744</v>
      </c>
      <c r="B29" s="355">
        <v>112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208640.505162702</v>
      </c>
    </row>
    <row r="39" spans="1:6">
      <c r="A39" s="348" t="s">
        <v>30</v>
      </c>
      <c r="B39" s="348" t="s">
        <v>31</v>
      </c>
      <c r="C39" s="334">
        <v>5322</v>
      </c>
      <c r="D39" s="334">
        <v>94593681.125218004</v>
      </c>
      <c r="E39" s="334">
        <v>6908</v>
      </c>
      <c r="F39" s="334">
        <v>26239177.830944501</v>
      </c>
    </row>
    <row r="40" spans="1:6">
      <c r="A40" s="348" t="s">
        <v>30</v>
      </c>
      <c r="B40" s="348" t="s">
        <v>29</v>
      </c>
      <c r="C40" s="334">
        <v>1</v>
      </c>
      <c r="D40" s="334">
        <v>32720.317160521401</v>
      </c>
      <c r="E40" s="334">
        <v>1</v>
      </c>
      <c r="F40" s="334">
        <v>8110.1693398500001</v>
      </c>
    </row>
    <row r="41" spans="1:6">
      <c r="A41" s="348" t="s">
        <v>32</v>
      </c>
      <c r="B41" s="348" t="s">
        <v>33</v>
      </c>
      <c r="C41" s="334">
        <v>86</v>
      </c>
      <c r="D41" s="334">
        <v>1819005.1879346699</v>
      </c>
      <c r="E41" s="334">
        <v>170</v>
      </c>
      <c r="F41" s="334">
        <v>2203877.5883110901</v>
      </c>
    </row>
    <row r="42" spans="1:6">
      <c r="A42" s="348" t="s">
        <v>32</v>
      </c>
      <c r="B42" s="348" t="s">
        <v>34</v>
      </c>
      <c r="C42" s="334">
        <v>5</v>
      </c>
      <c r="D42" s="334">
        <v>146945916.995597</v>
      </c>
      <c r="E42" s="334">
        <v>3</v>
      </c>
      <c r="F42" s="334">
        <v>80002863.826557204</v>
      </c>
    </row>
    <row r="43" spans="1:6">
      <c r="A43" s="348" t="s">
        <v>32</v>
      </c>
      <c r="B43" s="348" t="s">
        <v>35</v>
      </c>
      <c r="C43" s="334">
        <v>0</v>
      </c>
      <c r="D43" s="334">
        <v>0</v>
      </c>
      <c r="E43" s="334">
        <v>0</v>
      </c>
      <c r="F43" s="334">
        <v>0</v>
      </c>
    </row>
    <row r="44" spans="1:6">
      <c r="A44" s="348" t="s">
        <v>32</v>
      </c>
      <c r="B44" s="348" t="s">
        <v>36</v>
      </c>
      <c r="C44" s="334">
        <v>7</v>
      </c>
      <c r="D44" s="334">
        <v>290494.53852675302</v>
      </c>
      <c r="E44" s="334">
        <v>18</v>
      </c>
      <c r="F44" s="334">
        <v>1121749.7801441001</v>
      </c>
    </row>
    <row r="45" spans="1:6">
      <c r="A45" s="348" t="s">
        <v>32</v>
      </c>
      <c r="B45" s="348" t="s">
        <v>37</v>
      </c>
      <c r="C45" s="334">
        <v>3</v>
      </c>
      <c r="D45" s="334">
        <v>242504894.66244301</v>
      </c>
      <c r="E45" s="334">
        <v>8</v>
      </c>
      <c r="F45" s="334">
        <v>22695558.409519501</v>
      </c>
    </row>
    <row r="46" spans="1:6">
      <c r="A46" s="348" t="s">
        <v>32</v>
      </c>
      <c r="B46" s="348" t="s">
        <v>38</v>
      </c>
      <c r="C46" s="334">
        <v>0</v>
      </c>
      <c r="D46" s="334">
        <v>0</v>
      </c>
      <c r="E46" s="334">
        <v>6</v>
      </c>
      <c r="F46" s="334">
        <v>92404852.740438193</v>
      </c>
    </row>
    <row r="47" spans="1:6">
      <c r="A47" s="348" t="s">
        <v>32</v>
      </c>
      <c r="B47" s="348" t="s">
        <v>39</v>
      </c>
      <c r="C47" s="334">
        <v>0</v>
      </c>
      <c r="D47" s="334">
        <v>0</v>
      </c>
      <c r="E47" s="334">
        <v>0</v>
      </c>
      <c r="F47" s="334">
        <v>0</v>
      </c>
    </row>
    <row r="48" spans="1:6">
      <c r="A48" s="348" t="s">
        <v>32</v>
      </c>
      <c r="B48" s="348" t="s">
        <v>29</v>
      </c>
      <c r="C48" s="334">
        <v>32</v>
      </c>
      <c r="D48" s="334">
        <v>60142001.697443403</v>
      </c>
      <c r="E48" s="334">
        <v>47</v>
      </c>
      <c r="F48" s="334">
        <v>24351851.929626901</v>
      </c>
    </row>
    <row r="49" spans="1:6">
      <c r="A49" s="348" t="s">
        <v>32</v>
      </c>
      <c r="B49" s="348" t="s">
        <v>40</v>
      </c>
      <c r="C49" s="334">
        <v>0</v>
      </c>
      <c r="D49" s="334">
        <v>0</v>
      </c>
      <c r="E49" s="334">
        <v>0</v>
      </c>
      <c r="F49" s="334">
        <v>0</v>
      </c>
    </row>
    <row r="50" spans="1:6">
      <c r="A50" s="348" t="s">
        <v>32</v>
      </c>
      <c r="B50" s="348" t="s">
        <v>41</v>
      </c>
      <c r="C50" s="334">
        <v>5</v>
      </c>
      <c r="D50" s="334">
        <v>442218.47798083402</v>
      </c>
      <c r="E50" s="334">
        <v>16</v>
      </c>
      <c r="F50" s="334">
        <v>12507955.491958</v>
      </c>
    </row>
    <row r="51" spans="1:6">
      <c r="A51" s="348" t="s">
        <v>42</v>
      </c>
      <c r="B51" s="348" t="s">
        <v>43</v>
      </c>
      <c r="C51" s="334">
        <v>0</v>
      </c>
      <c r="D51" s="334">
        <v>0</v>
      </c>
      <c r="E51" s="334">
        <v>55</v>
      </c>
      <c r="F51" s="334">
        <v>1434219.31370693</v>
      </c>
    </row>
    <row r="52" spans="1:6">
      <c r="A52" s="348" t="s">
        <v>42</v>
      </c>
      <c r="B52" s="348" t="s">
        <v>29</v>
      </c>
      <c r="C52" s="334">
        <v>14</v>
      </c>
      <c r="D52" s="334">
        <v>57397913.7878564</v>
      </c>
      <c r="E52" s="334">
        <v>10</v>
      </c>
      <c r="F52" s="334">
        <v>175325.04683726301</v>
      </c>
    </row>
    <row r="53" spans="1:6">
      <c r="A53" s="348" t="s">
        <v>44</v>
      </c>
      <c r="B53" s="348" t="s">
        <v>45</v>
      </c>
      <c r="C53" s="334">
        <v>84</v>
      </c>
      <c r="D53" s="334">
        <v>2126818.66162566</v>
      </c>
      <c r="E53" s="334">
        <v>199</v>
      </c>
      <c r="F53" s="334">
        <v>890059.40067558398</v>
      </c>
    </row>
    <row r="54" spans="1:6">
      <c r="A54" s="348" t="s">
        <v>46</v>
      </c>
      <c r="B54" s="348" t="s">
        <v>47</v>
      </c>
      <c r="C54" s="334">
        <v>0</v>
      </c>
      <c r="D54" s="334">
        <v>0</v>
      </c>
      <c r="E54" s="334">
        <v>1</v>
      </c>
      <c r="F54" s="334">
        <v>863630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3068966.52530372</v>
      </c>
      <c r="E57" s="334">
        <v>51</v>
      </c>
      <c r="F57" s="334">
        <v>1018254.09886313</v>
      </c>
    </row>
    <row r="58" spans="1:6">
      <c r="A58" s="348" t="s">
        <v>49</v>
      </c>
      <c r="B58" s="348" t="s">
        <v>51</v>
      </c>
      <c r="C58" s="334">
        <v>19</v>
      </c>
      <c r="D58" s="334">
        <v>2098330.9640567</v>
      </c>
      <c r="E58" s="334">
        <v>25</v>
      </c>
      <c r="F58" s="334">
        <v>371625.06457707298</v>
      </c>
    </row>
    <row r="59" spans="1:6">
      <c r="A59" s="348" t="s">
        <v>49</v>
      </c>
      <c r="B59" s="348" t="s">
        <v>52</v>
      </c>
      <c r="C59" s="334">
        <v>83</v>
      </c>
      <c r="D59" s="334">
        <v>2749523.0592456101</v>
      </c>
      <c r="E59" s="334">
        <v>166</v>
      </c>
      <c r="F59" s="334">
        <v>4610570.3794474397</v>
      </c>
    </row>
    <row r="60" spans="1:6">
      <c r="A60" s="348" t="s">
        <v>49</v>
      </c>
      <c r="B60" s="348" t="s">
        <v>53</v>
      </c>
      <c r="C60" s="334">
        <v>85</v>
      </c>
      <c r="D60" s="334">
        <v>6355420.3003034396</v>
      </c>
      <c r="E60" s="334">
        <v>145</v>
      </c>
      <c r="F60" s="334">
        <v>1980076.08625523</v>
      </c>
    </row>
    <row r="61" spans="1:6">
      <c r="A61" s="348" t="s">
        <v>49</v>
      </c>
      <c r="B61" s="348" t="s">
        <v>54</v>
      </c>
      <c r="C61" s="334">
        <v>101</v>
      </c>
      <c r="D61" s="334">
        <v>3752408.5539450999</v>
      </c>
      <c r="E61" s="334">
        <v>221</v>
      </c>
      <c r="F61" s="334">
        <v>2393986.6698377598</v>
      </c>
    </row>
    <row r="62" spans="1:6">
      <c r="A62" s="348" t="s">
        <v>49</v>
      </c>
      <c r="B62" s="348" t="s">
        <v>55</v>
      </c>
      <c r="C62" s="334">
        <v>3</v>
      </c>
      <c r="D62" s="334">
        <v>770977.97404351796</v>
      </c>
      <c r="E62" s="334">
        <v>0</v>
      </c>
      <c r="F62" s="334">
        <v>0</v>
      </c>
    </row>
    <row r="63" spans="1:6">
      <c r="A63" s="348" t="s">
        <v>49</v>
      </c>
      <c r="B63" s="348" t="s">
        <v>29</v>
      </c>
      <c r="C63" s="334">
        <v>93</v>
      </c>
      <c r="D63" s="334">
        <v>3011147.04813493</v>
      </c>
      <c r="E63" s="334">
        <v>106</v>
      </c>
      <c r="F63" s="334">
        <v>3704545.4860876999</v>
      </c>
    </row>
    <row r="64" spans="1:6">
      <c r="A64" s="348" t="s">
        <v>56</v>
      </c>
      <c r="B64" s="348" t="s">
        <v>57</v>
      </c>
      <c r="C64" s="334">
        <v>0</v>
      </c>
      <c r="D64" s="334">
        <v>0</v>
      </c>
      <c r="E64" s="334">
        <v>0</v>
      </c>
      <c r="F64" s="334">
        <v>0</v>
      </c>
    </row>
    <row r="65" spans="1:6">
      <c r="A65" s="348" t="s">
        <v>56</v>
      </c>
      <c r="B65" s="348" t="s">
        <v>29</v>
      </c>
      <c r="C65" s="334">
        <v>0</v>
      </c>
      <c r="D65" s="334">
        <v>0</v>
      </c>
      <c r="E65" s="334">
        <v>1</v>
      </c>
      <c r="F65" s="334">
        <v>5592</v>
      </c>
    </row>
    <row r="66" spans="1:6">
      <c r="A66" s="348" t="s">
        <v>56</v>
      </c>
      <c r="B66" s="348" t="s">
        <v>58</v>
      </c>
      <c r="C66" s="334">
        <v>0</v>
      </c>
      <c r="D66" s="334">
        <v>0</v>
      </c>
      <c r="E66" s="334">
        <v>9</v>
      </c>
      <c r="F66" s="334">
        <v>307226.65113555302</v>
      </c>
    </row>
    <row r="67" spans="1:6">
      <c r="A67" s="355" t="s">
        <v>56</v>
      </c>
      <c r="B67" s="355" t="s">
        <v>59</v>
      </c>
      <c r="C67" s="334">
        <v>0</v>
      </c>
      <c r="D67" s="334">
        <v>0</v>
      </c>
      <c r="E67" s="334">
        <v>0</v>
      </c>
      <c r="F67" s="334">
        <v>0</v>
      </c>
    </row>
    <row r="68" spans="1:6">
      <c r="A68" s="341" t="s">
        <v>56</v>
      </c>
      <c r="B68" s="341" t="s">
        <v>60</v>
      </c>
      <c r="C68" s="334">
        <v>6</v>
      </c>
      <c r="D68" s="334">
        <v>118374.39279493599</v>
      </c>
      <c r="E68" s="334">
        <v>11</v>
      </c>
      <c r="F68" s="334">
        <v>50452.390407233601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58466877</v>
      </c>
      <c r="E73" s="476">
        <v>59147916.398571007</v>
      </c>
    </row>
    <row r="74" spans="1:6">
      <c r="A74" s="348" t="s">
        <v>64</v>
      </c>
      <c r="B74" s="348" t="s">
        <v>657</v>
      </c>
      <c r="C74" s="1213" t="s">
        <v>659</v>
      </c>
      <c r="D74" s="476">
        <v>4900777.0430122586</v>
      </c>
      <c r="E74" s="476">
        <v>4967340.6231166851</v>
      </c>
    </row>
    <row r="75" spans="1:6">
      <c r="A75" s="348" t="s">
        <v>65</v>
      </c>
      <c r="B75" s="348" t="s">
        <v>656</v>
      </c>
      <c r="C75" s="1213" t="s">
        <v>660</v>
      </c>
      <c r="D75" s="476">
        <v>9421431</v>
      </c>
      <c r="E75" s="476">
        <v>9586454.2257981431</v>
      </c>
    </row>
    <row r="76" spans="1:6">
      <c r="A76" s="348" t="s">
        <v>65</v>
      </c>
      <c r="B76" s="348" t="s">
        <v>657</v>
      </c>
      <c r="C76" s="1213" t="s">
        <v>661</v>
      </c>
      <c r="D76" s="476">
        <v>142890.04301225854</v>
      </c>
      <c r="E76" s="476">
        <v>138674.61174463044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722975.91397548292</v>
      </c>
      <c r="C83" s="476">
        <v>726157.90266095451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4932.2614466528839</v>
      </c>
    </row>
    <row r="92" spans="1:6">
      <c r="A92" s="341" t="s">
        <v>69</v>
      </c>
      <c r="B92" s="342">
        <v>4302.8931360401293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28</v>
      </c>
      <c r="C123" s="334">
        <v>69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3</v>
      </c>
    </row>
    <row r="131" spans="1:6">
      <c r="A131" s="348" t="s">
        <v>296</v>
      </c>
      <c r="B131" s="334">
        <v>4</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283362.19884441787</v>
      </c>
      <c r="C3" s="43" t="s">
        <v>170</v>
      </c>
      <c r="D3" s="43"/>
      <c r="E3" s="154"/>
      <c r="F3" s="43"/>
      <c r="G3" s="43"/>
      <c r="H3" s="43"/>
      <c r="I3" s="43"/>
      <c r="J3" s="43"/>
      <c r="K3" s="96"/>
    </row>
    <row r="4" spans="1:11">
      <c r="A4" s="383" t="s">
        <v>171</v>
      </c>
      <c r="B4" s="49">
        <f>IF(ISERROR('SEAP template'!B69),0,'SEAP template'!B69)</f>
        <v>29071.604582693013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4682.9541176470593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0.21485284804313479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6689.9344537815132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28337.785714285714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0.23607823565441696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863.63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0.21485284804313479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185.55336515549249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26247.288000284352</v>
      </c>
      <c r="C5" s="17">
        <f>IF(ISERROR('Eigen informatie GS &amp; warmtenet'!B57),0,'Eigen informatie GS &amp; warmtenet'!B57)</f>
        <v>0</v>
      </c>
      <c r="D5" s="30">
        <f>(SUM(HH_hh_gas_kWh,HH_rest_gas_kWh)/1000)*0.902</f>
        <v>85353.01410102543</v>
      </c>
      <c r="E5" s="17">
        <f>B46*B57</f>
        <v>2440.1574302522213</v>
      </c>
      <c r="F5" s="17">
        <f>B51*B62</f>
        <v>0</v>
      </c>
      <c r="G5" s="18"/>
      <c r="H5" s="17"/>
      <c r="I5" s="17"/>
      <c r="J5" s="17">
        <f>B50*B61+C50*C61</f>
        <v>0</v>
      </c>
      <c r="K5" s="17"/>
      <c r="L5" s="17"/>
      <c r="M5" s="17"/>
      <c r="N5" s="17">
        <f>B48*B59+C48*C59</f>
        <v>31600.511406740756</v>
      </c>
      <c r="O5" s="17">
        <f>B69*B70*B71</f>
        <v>403.34000000000009</v>
      </c>
      <c r="P5" s="17">
        <f>B77*B78*B79/1000-B77*B78*B79/1000/B80</f>
        <v>1124.9333333333334</v>
      </c>
    </row>
    <row r="6" spans="1:16">
      <c r="A6" s="16" t="s">
        <v>621</v>
      </c>
      <c r="B6" s="843">
        <f>kWh_PV_kleiner_dan_10kW</f>
        <v>4932.2614466528839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31179.549446937235</v>
      </c>
      <c r="C8" s="21">
        <f>C5</f>
        <v>0</v>
      </c>
      <c r="D8" s="21">
        <f>D5</f>
        <v>85353.01410102543</v>
      </c>
      <c r="E8" s="21">
        <f>E5</f>
        <v>2440.1574302522213</v>
      </c>
      <c r="F8" s="21">
        <f>F5</f>
        <v>0</v>
      </c>
      <c r="G8" s="21"/>
      <c r="H8" s="21"/>
      <c r="I8" s="21"/>
      <c r="J8" s="21">
        <f>J5</f>
        <v>0</v>
      </c>
      <c r="K8" s="21"/>
      <c r="L8" s="21">
        <f>L5</f>
        <v>0</v>
      </c>
      <c r="M8" s="21">
        <f>M5</f>
        <v>0</v>
      </c>
      <c r="N8" s="21">
        <f>N5</f>
        <v>31600.511406740756</v>
      </c>
      <c r="O8" s="21">
        <f>O5</f>
        <v>403.34000000000009</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0.21485284804313479</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6699.0149993762134</v>
      </c>
      <c r="C12" s="23">
        <f ca="1">C10*C8</f>
        <v>0</v>
      </c>
      <c r="D12" s="23">
        <f>D8*D10</f>
        <v>17241.308848407138</v>
      </c>
      <c r="E12" s="23">
        <f>E10*E8</f>
        <v>553.91573666725424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7079</v>
      </c>
      <c r="C28" s="36"/>
      <c r="D28" s="228"/>
    </row>
    <row r="29" spans="1:7" s="15" customFormat="1">
      <c r="A29" s="230" t="s">
        <v>795</v>
      </c>
      <c r="B29" s="37">
        <f>SUM(HH_hh_gas_aantal,HH_rest_gas_aantal)</f>
        <v>5323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5323</v>
      </c>
      <c r="C32" s="167">
        <f>IF(ISERROR(B32/SUM($B$32,$B$34,$B$35,$B$36,$B$38,$B$39)*100),0,B32/SUM($B$32,$B$34,$B$35,$B$36,$B$38,$B$39)*100)</f>
        <v>75.826210826210826</v>
      </c>
      <c r="D32" s="233"/>
      <c r="G32" s="15"/>
    </row>
    <row r="33" spans="1:7">
      <c r="A33" s="171" t="s">
        <v>72</v>
      </c>
      <c r="B33" s="34" t="s">
        <v>111</v>
      </c>
      <c r="C33" s="167"/>
      <c r="D33" s="233"/>
      <c r="G33" s="15"/>
    </row>
    <row r="34" spans="1:7">
      <c r="A34" s="171" t="s">
        <v>73</v>
      </c>
      <c r="B34" s="33">
        <f>IF((($B$28-$B$32-$B$39-$B$77-$B$38)*C20/100)&lt;0,0,($B$28-$B$32-$B$39-$B$77-$B$38)*C20/100)</f>
        <v>115.24617996604415</v>
      </c>
      <c r="C34" s="167">
        <f>IF(ISERROR(B34/SUM($B$32,$B$34,$B$35,$B$36,$B$38,$B$39)*100),0,B34/SUM($B$32,$B$34,$B$35,$B$36,$B$38,$B$39)*100)</f>
        <v>1.6416834752997742</v>
      </c>
      <c r="D34" s="233"/>
      <c r="G34" s="15"/>
    </row>
    <row r="35" spans="1:7">
      <c r="A35" s="171" t="s">
        <v>74</v>
      </c>
      <c r="B35" s="33">
        <f>IF((($B$28-$B$32-$B$39-$B$77-$B$38)*C21/100)&lt;0,0,($B$28-$B$32-$B$39-$B$77-$B$38)*C21/100)</f>
        <v>1143.8183361629883</v>
      </c>
      <c r="C35" s="167">
        <f>IF(ISERROR(B35/SUM($B$32,$B$34,$B$35,$B$36,$B$38,$B$39)*100),0,B35/SUM($B$32,$B$34,$B$35,$B$36,$B$38,$B$39)*100)</f>
        <v>16.293708492350262</v>
      </c>
      <c r="D35" s="233"/>
      <c r="G35" s="15"/>
    </row>
    <row r="36" spans="1:7">
      <c r="A36" s="171" t="s">
        <v>75</v>
      </c>
      <c r="B36" s="33">
        <f>IF((($B$28-$B$32-$B$39-$B$77-$B$38)*C22/100)&lt;0,0,($B$28-$B$32-$B$39-$B$77-$B$38)*C22/100)</f>
        <v>437.93548387096774</v>
      </c>
      <c r="C36" s="167">
        <f>IF(ISERROR(B36/SUM($B$32,$B$34,$B$35,$B$36,$B$38,$B$39)*100),0,B36/SUM($B$32,$B$34,$B$35,$B$36,$B$38,$B$39)*100)</f>
        <v>6.2383972061391413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5323</v>
      </c>
      <c r="C44" s="34" t="s">
        <v>111</v>
      </c>
      <c r="D44" s="174"/>
    </row>
    <row r="45" spans="1:7">
      <c r="A45" s="171" t="s">
        <v>72</v>
      </c>
      <c r="B45" s="33" t="str">
        <f t="shared" si="0"/>
        <v>-</v>
      </c>
      <c r="C45" s="34" t="s">
        <v>111</v>
      </c>
      <c r="D45" s="174"/>
    </row>
    <row r="46" spans="1:7">
      <c r="A46" s="171" t="s">
        <v>73</v>
      </c>
      <c r="B46" s="33">
        <f t="shared" si="0"/>
        <v>115.24617996604415</v>
      </c>
      <c r="C46" s="34" t="s">
        <v>111</v>
      </c>
      <c r="D46" s="174"/>
    </row>
    <row r="47" spans="1:7">
      <c r="A47" s="171" t="s">
        <v>74</v>
      </c>
      <c r="B47" s="33">
        <f t="shared" si="0"/>
        <v>1143.8183361629883</v>
      </c>
      <c r="C47" s="34" t="s">
        <v>111</v>
      </c>
      <c r="D47" s="174"/>
    </row>
    <row r="48" spans="1:7">
      <c r="A48" s="171" t="s">
        <v>75</v>
      </c>
      <c r="B48" s="33">
        <f t="shared" si="0"/>
        <v>437.93548387096774</v>
      </c>
      <c r="C48" s="33">
        <f>B48*10</f>
        <v>4379.3548387096771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14079.057785068331</v>
      </c>
      <c r="C5" s="17">
        <f>IF(ISERROR('Eigen informatie GS &amp; warmtenet'!B58),0,'Eigen informatie GS &amp; warmtenet'!B58)</f>
        <v>0</v>
      </c>
      <c r="D5" s="30">
        <f>SUM(D6:D12)</f>
        <v>19669.71053137978</v>
      </c>
      <c r="E5" s="17">
        <f>SUM(E6:E12)</f>
        <v>242.83415396987829</v>
      </c>
      <c r="F5" s="17">
        <f>SUM(F6:F12)</f>
        <v>2460.7687619862436</v>
      </c>
      <c r="G5" s="18"/>
      <c r="H5" s="17"/>
      <c r="I5" s="17"/>
      <c r="J5" s="17">
        <f>SUM(J6:J12)</f>
        <v>3.1072955424853353E-2</v>
      </c>
      <c r="K5" s="17"/>
      <c r="L5" s="17"/>
      <c r="M5" s="17"/>
      <c r="N5" s="17">
        <f>SUM(N6:N12)</f>
        <v>1238.3837835471522</v>
      </c>
      <c r="O5" s="17">
        <f>B38*B39*B40</f>
        <v>4.6900000000000004</v>
      </c>
      <c r="P5" s="17">
        <f>B46*B47*B48/1000-B46*B47*B48/1000/B49</f>
        <v>95.333333333333343</v>
      </c>
      <c r="R5" s="32"/>
    </row>
    <row r="6" spans="1:18">
      <c r="A6" s="32" t="s">
        <v>54</v>
      </c>
      <c r="B6" s="37">
        <f>B26</f>
        <v>2393.98666983776</v>
      </c>
      <c r="C6" s="33"/>
      <c r="D6" s="37">
        <f>IF(ISERROR(TER_kantoor_gas_kWh/1000),0,TER_kantoor_gas_kWh/1000)*0.902</f>
        <v>3384.6725156584803</v>
      </c>
      <c r="E6" s="33">
        <f>$C$26*'E Balans VL '!I12/100/3.6*1000000</f>
        <v>1.5004712219050718E-2</v>
      </c>
      <c r="F6" s="33">
        <f>$C$26*('E Balans VL '!L12+'E Balans VL '!N12)/100/3.6*1000000</f>
        <v>359.74930210909253</v>
      </c>
      <c r="G6" s="34"/>
      <c r="H6" s="33"/>
      <c r="I6" s="33"/>
      <c r="J6" s="33">
        <f>$C$26*('E Balans VL '!D12+'E Balans VL '!E12)/100/3.6*1000000</f>
        <v>0</v>
      </c>
      <c r="K6" s="33"/>
      <c r="L6" s="33"/>
      <c r="M6" s="33"/>
      <c r="N6" s="33">
        <f>$C$26*'E Balans VL '!Y12/100/3.6*1000000</f>
        <v>2.2894933022225992</v>
      </c>
      <c r="O6" s="33"/>
      <c r="P6" s="33"/>
      <c r="R6" s="32"/>
    </row>
    <row r="7" spans="1:18">
      <c r="A7" s="32" t="s">
        <v>53</v>
      </c>
      <c r="B7" s="37">
        <f t="shared" ref="B7:B12" si="0">B27</f>
        <v>1980.0760862552299</v>
      </c>
      <c r="C7" s="33"/>
      <c r="D7" s="37">
        <f>IF(ISERROR(TER_horeca_gas_kWh/1000),0,TER_horeca_gas_kWh/1000)*0.902</f>
        <v>5732.5891108737032</v>
      </c>
      <c r="E7" s="33">
        <f>$C$27*'E Balans VL '!I9/100/3.6*1000000</f>
        <v>28.354359737460491</v>
      </c>
      <c r="F7" s="33">
        <f>$C$27*('E Balans VL '!L9+'E Balans VL '!N9)/100/3.6*1000000</f>
        <v>250.74293794518471</v>
      </c>
      <c r="G7" s="34"/>
      <c r="H7" s="33"/>
      <c r="I7" s="33"/>
      <c r="J7" s="33">
        <f>$C$27*('E Balans VL '!D9+'E Balans VL '!E9)/100/3.6*1000000</f>
        <v>0</v>
      </c>
      <c r="K7" s="33"/>
      <c r="L7" s="33"/>
      <c r="M7" s="33"/>
      <c r="N7" s="33">
        <f>$C$27*'E Balans VL '!Y9/100/3.6*1000000</f>
        <v>0.5692282178681729</v>
      </c>
      <c r="O7" s="33"/>
      <c r="P7" s="33"/>
      <c r="R7" s="32"/>
    </row>
    <row r="8" spans="1:18">
      <c r="A8" s="6" t="s">
        <v>52</v>
      </c>
      <c r="B8" s="37">
        <f t="shared" si="0"/>
        <v>4610.5703794474393</v>
      </c>
      <c r="C8" s="33"/>
      <c r="D8" s="37">
        <f>IF(ISERROR(TER_handel_gas_kWh/1000),0,TER_handel_gas_kWh/1000)*0.902</f>
        <v>2480.0697994395405</v>
      </c>
      <c r="E8" s="33">
        <f>$C$28*'E Balans VL '!I13/100/3.6*1000000</f>
        <v>167.22481911249136</v>
      </c>
      <c r="F8" s="33">
        <f>$C$28*('E Balans VL '!L13+'E Balans VL '!N13)/100/3.6*1000000</f>
        <v>888.04254007480802</v>
      </c>
      <c r="G8" s="34"/>
      <c r="H8" s="33"/>
      <c r="I8" s="33"/>
      <c r="J8" s="33">
        <f>$C$28*('E Balans VL '!D13+'E Balans VL '!E13)/100/3.6*1000000</f>
        <v>0</v>
      </c>
      <c r="K8" s="33"/>
      <c r="L8" s="33"/>
      <c r="M8" s="33"/>
      <c r="N8" s="33">
        <f>$C$28*'E Balans VL '!Y13/100/3.6*1000000</f>
        <v>6.386700820466749</v>
      </c>
      <c r="O8" s="33"/>
      <c r="P8" s="33"/>
      <c r="R8" s="32"/>
    </row>
    <row r="9" spans="1:18">
      <c r="A9" s="32" t="s">
        <v>51</v>
      </c>
      <c r="B9" s="37">
        <f t="shared" si="0"/>
        <v>371.62506457707298</v>
      </c>
      <c r="C9" s="33"/>
      <c r="D9" s="37">
        <f>IF(ISERROR(TER_gezond_gas_kWh/1000),0,TER_gezond_gas_kWh/1000)*0.902</f>
        <v>1892.6945295791434</v>
      </c>
      <c r="E9" s="33">
        <f>$C$29*'E Balans VL '!I10/100/3.6*1000000</f>
        <v>2.3267398177169961E-2</v>
      </c>
      <c r="F9" s="33">
        <f>$C$29*('E Balans VL '!L10+'E Balans VL '!N10)/100/3.6*1000000</f>
        <v>55.20603483348836</v>
      </c>
      <c r="G9" s="34"/>
      <c r="H9" s="33"/>
      <c r="I9" s="33"/>
      <c r="J9" s="33">
        <f>$C$29*('E Balans VL '!D10+'E Balans VL '!E10)/100/3.6*1000000</f>
        <v>0</v>
      </c>
      <c r="K9" s="33"/>
      <c r="L9" s="33"/>
      <c r="M9" s="33"/>
      <c r="N9" s="33">
        <f>$C$29*'E Balans VL '!Y10/100/3.6*1000000</f>
        <v>5.748332357631682</v>
      </c>
      <c r="O9" s="33"/>
      <c r="P9" s="33"/>
      <c r="R9" s="32"/>
    </row>
    <row r="10" spans="1:18">
      <c r="A10" s="32" t="s">
        <v>50</v>
      </c>
      <c r="B10" s="37">
        <f t="shared" si="0"/>
        <v>1018.25409886313</v>
      </c>
      <c r="C10" s="33"/>
      <c r="D10" s="37">
        <f>IF(ISERROR(TER_ander_gas_kWh/1000),0,TER_ander_gas_kWh/1000)*0.902</f>
        <v>2768.2078058239558</v>
      </c>
      <c r="E10" s="33">
        <f>$C$30*'E Balans VL '!I14/100/3.6*1000000</f>
        <v>1.2137224995915541</v>
      </c>
      <c r="F10" s="33">
        <f>$C$30*('E Balans VL '!L14+'E Balans VL '!N14)/100/3.6*1000000</f>
        <v>266.42054028433762</v>
      </c>
      <c r="G10" s="34"/>
      <c r="H10" s="33"/>
      <c r="I10" s="33"/>
      <c r="J10" s="33">
        <f>$C$30*('E Balans VL '!D14+'E Balans VL '!E14)/100/3.6*1000000</f>
        <v>2.210230504046265E-2</v>
      </c>
      <c r="K10" s="33"/>
      <c r="L10" s="33"/>
      <c r="M10" s="33"/>
      <c r="N10" s="33">
        <f>$C$30*'E Balans VL '!Y14/100/3.6*1000000</f>
        <v>864.6764644274931</v>
      </c>
      <c r="O10" s="33"/>
      <c r="P10" s="33"/>
      <c r="R10" s="32"/>
    </row>
    <row r="11" spans="1:18">
      <c r="A11" s="32" t="s">
        <v>55</v>
      </c>
      <c r="B11" s="37">
        <f t="shared" si="0"/>
        <v>0</v>
      </c>
      <c r="C11" s="33"/>
      <c r="D11" s="37">
        <f>IF(ISERROR(TER_onderwijs_gas_kWh/1000),0,TER_onderwijs_gas_kWh/1000)*0.902</f>
        <v>695.42213258725326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3704.5454860876998</v>
      </c>
      <c r="C12" s="33"/>
      <c r="D12" s="37">
        <f>IF(ISERROR(TER_rest_gas_kWh/1000),0,TER_rest_gas_kWh/1000)*0.902</f>
        <v>2716.054637417707</v>
      </c>
      <c r="E12" s="33">
        <f>$C$32*'E Balans VL '!I8/100/3.6*1000000</f>
        <v>46.002980509938652</v>
      </c>
      <c r="F12" s="33">
        <f>$C$32*('E Balans VL '!L8+'E Balans VL '!N8)/100/3.6*1000000</f>
        <v>640.6074067393323</v>
      </c>
      <c r="G12" s="34"/>
      <c r="H12" s="33"/>
      <c r="I12" s="33"/>
      <c r="J12" s="33">
        <f>$C$32*('E Balans VL '!D8+'E Balans VL '!E8)/100/3.6*1000000</f>
        <v>8.9706503843907017E-3</v>
      </c>
      <c r="K12" s="33"/>
      <c r="L12" s="33"/>
      <c r="M12" s="33"/>
      <c r="N12" s="33">
        <f>$C$32*'E Balans VL '!Y8/100/3.6*1000000</f>
        <v>358.7135644214701</v>
      </c>
      <c r="O12" s="33"/>
      <c r="P12" s="33"/>
      <c r="R12" s="32"/>
    </row>
    <row r="13" spans="1:18">
      <c r="A13" s="16" t="s">
        <v>488</v>
      </c>
      <c r="B13" s="247">
        <f ca="1">'lokale energieproductie'!N90+'lokale energieproductie'!N59</f>
        <v>315.00000000000006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14394.057785068331</v>
      </c>
      <c r="C16" s="21">
        <f t="shared" ca="1" si="1"/>
        <v>450.00000000000011</v>
      </c>
      <c r="D16" s="21">
        <f t="shared" ca="1" si="1"/>
        <v>18769.71053137978</v>
      </c>
      <c r="E16" s="21">
        <f t="shared" si="1"/>
        <v>242.83415396987829</v>
      </c>
      <c r="F16" s="21">
        <f t="shared" ca="1" si="1"/>
        <v>2460.7687619862436</v>
      </c>
      <c r="G16" s="21">
        <f t="shared" si="1"/>
        <v>0</v>
      </c>
      <c r="H16" s="21">
        <f t="shared" si="1"/>
        <v>0</v>
      </c>
      <c r="I16" s="21">
        <f t="shared" si="1"/>
        <v>0</v>
      </c>
      <c r="J16" s="21">
        <f t="shared" si="1"/>
        <v>3.1072955424853353E-2</v>
      </c>
      <c r="K16" s="21">
        <f t="shared" si="1"/>
        <v>0</v>
      </c>
      <c r="L16" s="21">
        <f t="shared" ca="1" si="1"/>
        <v>0</v>
      </c>
      <c r="M16" s="21">
        <f t="shared" si="1"/>
        <v>0</v>
      </c>
      <c r="N16" s="21">
        <f t="shared" ca="1" si="1"/>
        <v>1238.3837835471522</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0.21485284804313479</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3092.6043100193874</v>
      </c>
      <c r="C20" s="23">
        <f t="shared" ref="C20:P20" ca="1" si="2">C16*C18</f>
        <v>106.23520604448765</v>
      </c>
      <c r="D20" s="23">
        <f t="shared" ca="1" si="2"/>
        <v>3791.4815273387158</v>
      </c>
      <c r="E20" s="23">
        <f t="shared" si="2"/>
        <v>55.123352951162374</v>
      </c>
      <c r="F20" s="23">
        <f t="shared" ca="1" si="2"/>
        <v>657.0252594503271</v>
      </c>
      <c r="G20" s="23">
        <f t="shared" si="2"/>
        <v>0</v>
      </c>
      <c r="H20" s="23">
        <f t="shared" si="2"/>
        <v>0</v>
      </c>
      <c r="I20" s="23">
        <f t="shared" si="2"/>
        <v>0</v>
      </c>
      <c r="J20" s="23">
        <f t="shared" si="2"/>
        <v>1.0999826220398086E-2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2393.98666983776</v>
      </c>
      <c r="C26" s="39">
        <f>IF(ISERROR(B26*3.6/1000000/'E Balans VL '!Z12*100),0,B26*3.6/1000000/'E Balans VL '!Z12*100)</f>
        <v>5.060508581915537E-2</v>
      </c>
      <c r="D26" s="237" t="s">
        <v>754</v>
      </c>
      <c r="F26" s="6"/>
    </row>
    <row r="27" spans="1:18">
      <c r="A27" s="231" t="s">
        <v>53</v>
      </c>
      <c r="B27" s="33">
        <f>IF(ISERROR(TER_horeca_ele_kWh/1000),0,TER_horeca_ele_kWh/1000)</f>
        <v>1980.0760862552299</v>
      </c>
      <c r="C27" s="39">
        <f>IF(ISERROR(B27*3.6/1000000/'E Balans VL '!Z9*100),0,B27*3.6/1000000/'E Balans VL '!Z9*100)</f>
        <v>0.15608865986746553</v>
      </c>
      <c r="D27" s="237" t="s">
        <v>754</v>
      </c>
      <c r="F27" s="6"/>
    </row>
    <row r="28" spans="1:18">
      <c r="A28" s="171" t="s">
        <v>52</v>
      </c>
      <c r="B28" s="33">
        <f>IF(ISERROR(TER_handel_ele_kWh/1000),0,TER_handel_ele_kWh/1000)</f>
        <v>4610.5703794474393</v>
      </c>
      <c r="C28" s="39">
        <f>IF(ISERROR(B28*3.6/1000000/'E Balans VL '!Z13*100),0,B28*3.6/1000000/'E Balans VL '!Z13*100)</f>
        <v>0.1338173812033675</v>
      </c>
      <c r="D28" s="237" t="s">
        <v>754</v>
      </c>
      <c r="F28" s="6"/>
    </row>
    <row r="29" spans="1:18">
      <c r="A29" s="231" t="s">
        <v>51</v>
      </c>
      <c r="B29" s="33">
        <f>IF(ISERROR(TER_gezond_ele_kWh/1000),0,TER_gezond_ele_kWh/1000)</f>
        <v>371.62506457707298</v>
      </c>
      <c r="C29" s="39">
        <f>IF(ISERROR(B29*3.6/1000000/'E Balans VL '!Z10*100),0,B29*3.6/1000000/'E Balans VL '!Z10*100)</f>
        <v>3.9138221544601809E-2</v>
      </c>
      <c r="D29" s="237" t="s">
        <v>754</v>
      </c>
      <c r="F29" s="6"/>
    </row>
    <row r="30" spans="1:18">
      <c r="A30" s="231" t="s">
        <v>50</v>
      </c>
      <c r="B30" s="33">
        <f>IF(ISERROR(TER_ander_ele_kWh/1000),0,TER_ander_ele_kWh/1000)</f>
        <v>1018.25409886313</v>
      </c>
      <c r="C30" s="39">
        <f>IF(ISERROR(B30*3.6/1000000/'E Balans VL '!Z14*100),0,B30*3.6/1000000/'E Balans VL '!Z14*100)</f>
        <v>7.5106643495834596E-2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3704.5454860876998</v>
      </c>
      <c r="C32" s="39">
        <f>IF(ISERROR(B32*3.6/1000000/'E Balans VL '!Z8*100),0,B32*3.6/1000000/'E Balans VL '!Z8*100)</f>
        <v>3.0483492066223913E-2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235288.709766555</v>
      </c>
      <c r="C5" s="17">
        <f>IF(ISERROR('Eigen informatie GS &amp; warmtenet'!B59),0,'Eigen informatie GS &amp; warmtenet'!B59)</f>
        <v>0</v>
      </c>
      <c r="D5" s="30">
        <f>SUM(D6:D15)</f>
        <v>407834.36746705294</v>
      </c>
      <c r="E5" s="17">
        <f>SUM(E6:E15)</f>
        <v>3736.2019974018058</v>
      </c>
      <c r="F5" s="17">
        <f>SUM(F6:F15)</f>
        <v>37788.747315803426</v>
      </c>
      <c r="G5" s="18"/>
      <c r="H5" s="17"/>
      <c r="I5" s="17"/>
      <c r="J5" s="17">
        <f>SUM(J6:J15)</f>
        <v>26580.785862600289</v>
      </c>
      <c r="K5" s="17"/>
      <c r="L5" s="17"/>
      <c r="M5" s="17"/>
      <c r="N5" s="17">
        <f>SUM(N6:N15)</f>
        <v>13824.966075404376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92404.852740438189</v>
      </c>
      <c r="C7" s="33"/>
      <c r="D7" s="37">
        <f>IF( ISERROR(IND_nonf_gas_kWhh/1000),0,IND_nonf_gas_kWh/1000)*0.902</f>
        <v>0</v>
      </c>
      <c r="E7" s="33">
        <f>C29*'E Balans VL '!I17/100/3.6*1000000</f>
        <v>855.78615445764297</v>
      </c>
      <c r="F7" s="33">
        <f>C29*'E Balans VL '!L17/100/3.6*1000000+C29*'E Balans VL '!N17/100/3.6*1000000</f>
        <v>21634.284121910656</v>
      </c>
      <c r="G7" s="34"/>
      <c r="H7" s="33"/>
      <c r="I7" s="33"/>
      <c r="J7" s="40">
        <f>C29*'E Balans VL '!D17/100/3.6*1000000+C29*'E Balans VL '!E17/100/3.6*1000000</f>
        <v>26456.311054086622</v>
      </c>
      <c r="K7" s="33"/>
      <c r="L7" s="33"/>
      <c r="M7" s="33"/>
      <c r="N7" s="33">
        <f>C29*'E Balans VL '!Y17/100/3.6*1000000</f>
        <v>0</v>
      </c>
      <c r="O7" s="33"/>
      <c r="P7" s="33"/>
      <c r="R7" s="32"/>
    </row>
    <row r="8" spans="1:18">
      <c r="A8" s="6" t="s">
        <v>36</v>
      </c>
      <c r="B8" s="37">
        <f t="shared" si="0"/>
        <v>1121.7497801441</v>
      </c>
      <c r="C8" s="33"/>
      <c r="D8" s="37">
        <f>IF( ISERROR(IND_metaal_Gas_kWH/1000),0,IND_metaal_Gas_kWH/1000)*0.902</f>
        <v>262.02607375113126</v>
      </c>
      <c r="E8" s="33">
        <f>C30*'E Balans VL '!I18/100/3.6*1000000</f>
        <v>10.313405832184205</v>
      </c>
      <c r="F8" s="33">
        <f>C30*'E Balans VL '!L18/100/3.6*1000000+C30*'E Balans VL '!N18/100/3.6*1000000</f>
        <v>105.18278254691816</v>
      </c>
      <c r="G8" s="34"/>
      <c r="H8" s="33"/>
      <c r="I8" s="33"/>
      <c r="J8" s="40">
        <f>C30*'E Balans VL '!D18/100/3.6*1000000+C30*'E Balans VL '!E18/100/3.6*1000000</f>
        <v>0</v>
      </c>
      <c r="K8" s="33"/>
      <c r="L8" s="33"/>
      <c r="M8" s="33"/>
      <c r="N8" s="33">
        <f>C30*'E Balans VL '!Y18/100/3.6*1000000</f>
        <v>16.003614383331453</v>
      </c>
      <c r="O8" s="33"/>
      <c r="P8" s="33"/>
      <c r="R8" s="32"/>
    </row>
    <row r="9" spans="1:18">
      <c r="A9" s="6" t="s">
        <v>33</v>
      </c>
      <c r="B9" s="37">
        <f t="shared" si="0"/>
        <v>2203.8775883110902</v>
      </c>
      <c r="C9" s="33"/>
      <c r="D9" s="37">
        <f>IF( ISERROR(IND_andere_gas_kWh/1000),0,IND_andere_gas_kWh/1000)*0.902</f>
        <v>1640.7426795170722</v>
      </c>
      <c r="E9" s="33">
        <f>C31*'E Balans VL '!I19/100/3.6*1000000</f>
        <v>644.23632349942693</v>
      </c>
      <c r="F9" s="33">
        <f>C31*'E Balans VL '!L19/100/3.6*1000000+C31*'E Balans VL '!N19/100/3.6*1000000</f>
        <v>1770.9824604131509</v>
      </c>
      <c r="G9" s="34"/>
      <c r="H9" s="33"/>
      <c r="I9" s="33"/>
      <c r="J9" s="40">
        <f>C31*'E Balans VL '!D19/100/3.6*1000000+C31*'E Balans VL '!E19/100/3.6*1000000</f>
        <v>0</v>
      </c>
      <c r="K9" s="33"/>
      <c r="L9" s="33"/>
      <c r="M9" s="33"/>
      <c r="N9" s="33">
        <f>C31*'E Balans VL '!Y19/100/3.6*1000000</f>
        <v>728.19533489603486</v>
      </c>
      <c r="O9" s="33"/>
      <c r="P9" s="33"/>
      <c r="R9" s="32"/>
    </row>
    <row r="10" spans="1:18">
      <c r="A10" s="6" t="s">
        <v>41</v>
      </c>
      <c r="B10" s="37">
        <f t="shared" si="0"/>
        <v>12507.955491958</v>
      </c>
      <c r="C10" s="33"/>
      <c r="D10" s="37">
        <f>IF( ISERROR(IND_voed_gas_kWh/1000),0,IND_voed_gas_kWh/1000)*0.902</f>
        <v>398.88106713871235</v>
      </c>
      <c r="E10" s="33">
        <f>C32*'E Balans VL '!I20/100/3.6*1000000</f>
        <v>26.460773781384034</v>
      </c>
      <c r="F10" s="33">
        <f>C32*'E Balans VL '!L20/100/3.6*1000000+C32*'E Balans VL '!N20/100/3.6*1000000</f>
        <v>795.26858668055957</v>
      </c>
      <c r="G10" s="34"/>
      <c r="H10" s="33"/>
      <c r="I10" s="33"/>
      <c r="J10" s="40">
        <f>C32*'E Balans VL '!D20/100/3.6*1000000+C32*'E Balans VL '!E20/100/3.6*1000000</f>
        <v>0</v>
      </c>
      <c r="K10" s="33"/>
      <c r="L10" s="33"/>
      <c r="M10" s="33"/>
      <c r="N10" s="33">
        <f>C32*'E Balans VL '!Y20/100/3.6*1000000</f>
        <v>863.17236046589437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22695.558409519501</v>
      </c>
      <c r="C12" s="33"/>
      <c r="D12" s="37">
        <f>IF( ISERROR(IND_min_gas_kWh/1000),0,IND_min_gas_kWh/1000)*0.902</f>
        <v>218739.41498552362</v>
      </c>
      <c r="E12" s="33">
        <f>C34*'E Balans VL '!I22/100/3.6*1000000</f>
        <v>657.85078560517354</v>
      </c>
      <c r="F12" s="33">
        <f>C34*'E Balans VL '!L22/100/3.6*1000000+C34*'E Balans VL '!N22/100/3.6*1000000</f>
        <v>7802.9894467187014</v>
      </c>
      <c r="G12" s="34"/>
      <c r="H12" s="33"/>
      <c r="I12" s="33"/>
      <c r="J12" s="40">
        <f>C34*'E Balans VL '!D22/100/3.6*1000000+C34*'E Balans VL '!E22/100/3.6*1000000</f>
        <v>37.295641671351518</v>
      </c>
      <c r="K12" s="33"/>
      <c r="L12" s="33"/>
      <c r="M12" s="33"/>
      <c r="N12" s="33">
        <f>C34*'E Balans VL '!Y22/100/3.6*1000000</f>
        <v>4968.4306985660278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80002.863826557208</v>
      </c>
      <c r="C14" s="33"/>
      <c r="D14" s="37">
        <f>IF( ISERROR(IND_chemie_gas_kWh/1000),0,IND_chemie_gas_kWh/1000)*0.902</f>
        <v>132545.2171300285</v>
      </c>
      <c r="E14" s="33">
        <f>C36*'E Balans VL '!I24/100/3.6*1000000</f>
        <v>196.94412841596738</v>
      </c>
      <c r="F14" s="33">
        <f>C36*'E Balans VL '!L24/100/3.6*1000000+C36*'E Balans VL '!N24/100/3.6*1000000</f>
        <v>856.66691364954215</v>
      </c>
      <c r="G14" s="34"/>
      <c r="H14" s="33"/>
      <c r="I14" s="33"/>
      <c r="J14" s="40">
        <f>C36*'E Balans VL '!D24/100/3.6*1000000+C36*'E Balans VL '!E24/100/3.6*1000000</f>
        <v>0</v>
      </c>
      <c r="K14" s="33"/>
      <c r="L14" s="33"/>
      <c r="M14" s="33"/>
      <c r="N14" s="33">
        <f>C36*'E Balans VL '!Y24/100/3.6*1000000</f>
        <v>1786.6614381738241</v>
      </c>
      <c r="O14" s="33"/>
      <c r="P14" s="33"/>
      <c r="R14" s="32"/>
    </row>
    <row r="15" spans="1:18">
      <c r="A15" s="6" t="s">
        <v>270</v>
      </c>
      <c r="B15" s="37">
        <f t="shared" si="0"/>
        <v>24351.851929626901</v>
      </c>
      <c r="C15" s="33"/>
      <c r="D15" s="37">
        <f>IF( ISERROR(IND_rest_gas_kWh/1000),0,IND_rest_gas_kWh/1000)*0.902</f>
        <v>54248.085531093951</v>
      </c>
      <c r="E15" s="33">
        <f>C37*'E Balans VL '!I15/100/3.6*1000000</f>
        <v>1344.610425810027</v>
      </c>
      <c r="F15" s="33">
        <f>C37*'E Balans VL '!L15/100/3.6*1000000+C37*'E Balans VL '!N15/100/3.6*1000000</f>
        <v>4823.3730038839003</v>
      </c>
      <c r="G15" s="34"/>
      <c r="H15" s="33"/>
      <c r="I15" s="33"/>
      <c r="J15" s="40">
        <f>C37*'E Balans VL '!D15/100/3.6*1000000+C37*'E Balans VL '!E15/100/3.6*1000000</f>
        <v>87.179166842312611</v>
      </c>
      <c r="K15" s="33"/>
      <c r="L15" s="33"/>
      <c r="M15" s="33"/>
      <c r="N15" s="33">
        <f>C37*'E Balans VL '!Y15/100/3.6*1000000</f>
        <v>5462.5026289192638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235288.709766555</v>
      </c>
      <c r="C18" s="21">
        <f>C5+C16</f>
        <v>0</v>
      </c>
      <c r="D18" s="21">
        <f>MAX((D5+D16),0)</f>
        <v>407834.36746705294</v>
      </c>
      <c r="E18" s="21">
        <f>MAX((E5+E16),0)</f>
        <v>3736.2019974018058</v>
      </c>
      <c r="F18" s="21">
        <f>MAX((F5+F16),0)</f>
        <v>37788.747315803426</v>
      </c>
      <c r="G18" s="21"/>
      <c r="H18" s="21"/>
      <c r="I18" s="21"/>
      <c r="J18" s="21">
        <f>MAX((J5+J16),0)</f>
        <v>26580.785862600289</v>
      </c>
      <c r="K18" s="21"/>
      <c r="L18" s="21">
        <f>MAX((L5+L16),0)</f>
        <v>0</v>
      </c>
      <c r="M18" s="21"/>
      <c r="N18" s="21">
        <f>MAX((N5+N16),0)</f>
        <v>13824.966075404376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0.21485284804313479</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50552.449405738887</v>
      </c>
      <c r="C22" s="23">
        <f ca="1">C18*C20</f>
        <v>0</v>
      </c>
      <c r="D22" s="23">
        <f>D18*D20</f>
        <v>82382.542228344697</v>
      </c>
      <c r="E22" s="23">
        <f>E18*E20</f>
        <v>848.11785341020993</v>
      </c>
      <c r="F22" s="23">
        <f>F18*F20</f>
        <v>10089.595533319516</v>
      </c>
      <c r="G22" s="23"/>
      <c r="H22" s="23"/>
      <c r="I22" s="23"/>
      <c r="J22" s="23">
        <f>J18*J20</f>
        <v>9409.5981953605024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92404.852740438189</v>
      </c>
      <c r="C29" s="39">
        <f>IF(ISERROR(B29*3.6/1000000/'E Balans VL '!Z17*100),0,B29*3.6/1000000/'E Balans VL '!Z17*100)</f>
        <v>59.901081631894229</v>
      </c>
      <c r="D29" s="237" t="s">
        <v>754</v>
      </c>
    </row>
    <row r="30" spans="1:18">
      <c r="A30" s="171" t="s">
        <v>36</v>
      </c>
      <c r="B30" s="37">
        <f>IF( ISERROR(IND_metaal_ele_kWh/1000),0,IND_metaal_ele_kWh/1000)</f>
        <v>1121.7497801441</v>
      </c>
      <c r="C30" s="39">
        <f>IF(ISERROR(B30*3.6/1000000/'E Balans VL '!Z18*100),0,B30*3.6/1000000/'E Balans VL '!Z18*100)</f>
        <v>6.3572436395329945E-2</v>
      </c>
      <c r="D30" s="237" t="s">
        <v>754</v>
      </c>
    </row>
    <row r="31" spans="1:18">
      <c r="A31" s="6" t="s">
        <v>33</v>
      </c>
      <c r="B31" s="37">
        <f>IF( ISERROR(IND_ander_ele_kWh/1000),0,IND_ander_ele_kWh/1000)</f>
        <v>2203.8775883110902</v>
      </c>
      <c r="C31" s="39">
        <f>IF(ISERROR(B31*3.6/1000000/'E Balans VL '!Z19*100),0,B31*3.6/1000000/'E Balans VL '!Z19*100)</f>
        <v>9.9958710619232477E-2</v>
      </c>
      <c r="D31" s="237" t="s">
        <v>754</v>
      </c>
    </row>
    <row r="32" spans="1:18">
      <c r="A32" s="171" t="s">
        <v>41</v>
      </c>
      <c r="B32" s="37">
        <f>IF( ISERROR(IND_voed_ele_kWh/1000),0,IND_voed_ele_kWh/1000)</f>
        <v>12507.955491958</v>
      </c>
      <c r="C32" s="39">
        <f>IF(ISERROR(B32*3.6/1000000/'E Balans VL '!Z20*100),0,B32*3.6/1000000/'E Balans VL '!Z20*100)</f>
        <v>0.38692784468983538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22695.558409519501</v>
      </c>
      <c r="C34" s="39">
        <f>IF(ISERROR(B34*3.6/1000000/'E Balans VL '!Z22*100),0,B34*3.6/1000000/'E Balans VL '!Z22*100)</f>
        <v>4.0822228646052308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80002.863826557208</v>
      </c>
      <c r="C36" s="39">
        <f>IF(ISERROR(B36*3.6/1000000/'E Balans VL '!Z24*100),0,B36*3.6/1000000/'E Balans VL '!Z24*100)</f>
        <v>2.4396093190260371</v>
      </c>
      <c r="D36" s="237" t="s">
        <v>754</v>
      </c>
    </row>
    <row r="37" spans="1:5">
      <c r="A37" s="171" t="s">
        <v>270</v>
      </c>
      <c r="B37" s="37">
        <f>IF( ISERROR(IND_rest_ele_kWh/1000),0,IND_rest_ele_kWh/1000)</f>
        <v>24351.851929626901</v>
      </c>
      <c r="C37" s="39">
        <f>IF(ISERROR(B37*3.6/1000000/'E Balans VL '!Z15*100),0,B37*3.6/1000000/'E Balans VL '!Z15*100)</f>
        <v>0.19301833346075464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1609.5443605441931</v>
      </c>
      <c r="C5" s="17">
        <f>'Eigen informatie GS &amp; warmtenet'!B60</f>
        <v>0</v>
      </c>
      <c r="D5" s="30">
        <f>IF(ISERROR(SUM(LB_lb_gas_kWh,LB_rest_gas_kWh,onbekend_gas_kWh)/1000),0,SUM(LB_lb_gas_kWh,LB_rest_gas_kWh,onbekend_gas_kWh)/1000)*0.902</f>
        <v>53691.308669432823</v>
      </c>
      <c r="E5" s="17">
        <f>B17*'E Balans VL '!I25/3.6*1000000/100</f>
        <v>47.309424872296397</v>
      </c>
      <c r="F5" s="17">
        <f>B17*('E Balans VL '!L25/3.6*1000000+'E Balans VL '!N25/3.6*1000000)/100</f>
        <v>6705.2748308149903</v>
      </c>
      <c r="G5" s="18"/>
      <c r="H5" s="17"/>
      <c r="I5" s="17"/>
      <c r="J5" s="17">
        <f>('E Balans VL '!D25+'E Balans VL '!E25)/3.6*1000000*landbouw!B17/100</f>
        <v>233.18841248204507</v>
      </c>
      <c r="K5" s="17"/>
      <c r="L5" s="17">
        <f>L6*(-1)</f>
        <v>0</v>
      </c>
      <c r="M5" s="17"/>
      <c r="N5" s="17">
        <f>N6*(-1)</f>
        <v>374.14285714285711</v>
      </c>
      <c r="O5" s="17"/>
      <c r="P5" s="17"/>
      <c r="R5" s="32"/>
    </row>
    <row r="6" spans="1:18">
      <c r="A6" s="16" t="s">
        <v>488</v>
      </c>
      <c r="B6" s="17" t="s">
        <v>211</v>
      </c>
      <c r="C6" s="17">
        <f>'lokale energieproductie'!O91+'lokale energieproductie'!O60</f>
        <v>27887.785714285714</v>
      </c>
      <c r="D6" s="310">
        <f>('lokale energieproductie'!P60+'lokale energieproductie'!P91)*(-1)</f>
        <v>-55401.428571428572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1609.5443605441931</v>
      </c>
      <c r="C8" s="21">
        <f>C5+C6</f>
        <v>27887.785714285714</v>
      </c>
      <c r="D8" s="21">
        <f>MAX((D5+D6),0)</f>
        <v>0</v>
      </c>
      <c r="E8" s="21">
        <f>MAX((E5+E6),0)</f>
        <v>47.309424872296397</v>
      </c>
      <c r="F8" s="21">
        <f>MAX((F5+F6),0)</f>
        <v>6705.2748308149903</v>
      </c>
      <c r="G8" s="21"/>
      <c r="H8" s="21"/>
      <c r="I8" s="21"/>
      <c r="J8" s="21">
        <f>MAX((J5+J6),0)</f>
        <v>233.18841248204507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0.21485284804313479</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345.81518991468607</v>
      </c>
      <c r="C12" s="23">
        <f ca="1">C8*C10</f>
        <v>6583.6992477370259</v>
      </c>
      <c r="D12" s="23">
        <f>D8*D10</f>
        <v>0</v>
      </c>
      <c r="E12" s="23">
        <f>E8*E10</f>
        <v>10.739239446011283</v>
      </c>
      <c r="F12" s="23">
        <f>F8*F10</f>
        <v>1790.3083798276025</v>
      </c>
      <c r="G12" s="23"/>
      <c r="H12" s="23"/>
      <c r="I12" s="23"/>
      <c r="J12" s="23">
        <f>J8*J10</f>
        <v>82.548698018643947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0.22839939455264924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244.77166485500771</v>
      </c>
      <c r="C26" s="247">
        <f>B26*'GWP N2O_CH4'!B5</f>
        <v>5140.2049619551617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65.721845185475232</v>
      </c>
      <c r="C27" s="247">
        <f>B27*'GWP N2O_CH4'!B5</f>
        <v>1380.1587488949799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5.4008256181011598</v>
      </c>
      <c r="C28" s="247">
        <f>B28*'GWP N2O_CH4'!B4</f>
        <v>1674.2559416113595</v>
      </c>
      <c r="D28" s="50"/>
    </row>
    <row r="29" spans="1:4">
      <c r="A29" s="41" t="s">
        <v>277</v>
      </c>
      <c r="B29" s="247">
        <f>B34*'ha_N2O bodem landbouw'!B4</f>
        <v>9.4787464297229942</v>
      </c>
      <c r="C29" s="247">
        <f>B29*'GWP N2O_CH4'!B4</f>
        <v>2938.4113932141281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2.1630172700494105E-3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9.614694712723631E-5</v>
      </c>
      <c r="C5" s="463" t="s">
        <v>211</v>
      </c>
      <c r="D5" s="448">
        <f>SUM(D6:D11)</f>
        <v>3.1952298993603813E-4</v>
      </c>
      <c r="E5" s="448">
        <f>SUM(E6:E11)</f>
        <v>4.2933153655986444E-4</v>
      </c>
      <c r="F5" s="461" t="s">
        <v>211</v>
      </c>
      <c r="G5" s="448">
        <f>SUM(G6:G11)</f>
        <v>0.15712857683285913</v>
      </c>
      <c r="H5" s="448">
        <f>SUM(H6:H11)</f>
        <v>3.612186302350686E-2</v>
      </c>
      <c r="I5" s="463" t="s">
        <v>211</v>
      </c>
      <c r="J5" s="463" t="s">
        <v>211</v>
      </c>
      <c r="K5" s="463" t="s">
        <v>211</v>
      </c>
      <c r="L5" s="463" t="s">
        <v>211</v>
      </c>
      <c r="M5" s="448">
        <f>SUM(M6:M11)</f>
        <v>1.0252394351437695E-2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8.2803827304307376E-5</v>
      </c>
      <c r="C6" s="449"/>
      <c r="D6" s="962">
        <f>vkm_2011_GW_PW*SUMIFS(TableVerdeelsleutelVkm[CNG],TableVerdeelsleutelVkm[Voertuigtype],"Lichte voertuigen")*SUMIFS(TableECFTransport[EnergieConsumptieFactor (PJ per km)],TableECFTransport[Index],CONCATENATE($A6,"_CNG_CNG"))</f>
        <v>2.4836395683897706E-4</v>
      </c>
      <c r="E6" s="962">
        <f>vkm_2011_GW_PW*SUMIFS(TableVerdeelsleutelVkm[LPG],TableVerdeelsleutelVkm[Voertuigtype],"Lichte voertuigen")*SUMIFS(TableECFTransport[EnergieConsumptieFactor (PJ per km)],TableECFTransport[Index],CONCATENATE($A6,"_LPG_LPG"))</f>
        <v>3.3930084076626245E-4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8.7727643629867041E-2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2.8243601433400909E-2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5.9637121789451056E-3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4.5989132338934577E-2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1.4014101449431216E-5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2.6874521869454191E-3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1.3343119822928937E-5</v>
      </c>
      <c r="C8" s="449"/>
      <c r="D8" s="451">
        <f>vkm_2011_NGW_PW*SUMIFS(TableVerdeelsleutelVkm[CNG],TableVerdeelsleutelVkm[Voertuigtype],"Lichte voertuigen")*SUMIFS(TableECFTransport[EnergieConsumptieFactor (PJ per km)],TableECFTransport[Index],CONCATENATE($A8,"_CNG_CNG"))</f>
        <v>7.115903309706109E-5</v>
      </c>
      <c r="E8" s="451">
        <f>vkm_2011_NGW_PW*SUMIFS(TableVerdeelsleutelVkm[LPG],TableVerdeelsleutelVkm[Voertuigtype],"Lichte voertuigen")*SUMIFS(TableECFTransport[EnergieConsumptieFactor (PJ per km)],TableECFTransport[Index],CONCATENATE($A8,"_LPG_LPG"))</f>
        <v>9.0030695793601978E-5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2.1692456729721286E-2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7.863754254317885E-3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1.5007581341512284E-3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1.7193441343362427E-3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4.9323433863893806E-7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1.0047185139594045E-4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26.7074853131212</v>
      </c>
      <c r="C14" s="21"/>
      <c r="D14" s="21">
        <f t="shared" ref="D14:M14" si="0">((D5)*10^9/3600)+D12</f>
        <v>88.756386093343934</v>
      </c>
      <c r="E14" s="21">
        <f t="shared" si="0"/>
        <v>119.25876015551789</v>
      </c>
      <c r="F14" s="21"/>
      <c r="G14" s="21">
        <f t="shared" si="0"/>
        <v>43646.826898016421</v>
      </c>
      <c r="H14" s="21">
        <f t="shared" si="0"/>
        <v>10033.850839863017</v>
      </c>
      <c r="I14" s="21"/>
      <c r="J14" s="21"/>
      <c r="K14" s="21"/>
      <c r="L14" s="21"/>
      <c r="M14" s="21">
        <f t="shared" si="0"/>
        <v>2847.8873198438041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0.21485284804313479</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5.7381792835942838</v>
      </c>
      <c r="C18" s="23"/>
      <c r="D18" s="23">
        <f t="shared" ref="D18:M18" si="1">D14*D16</f>
        <v>17.928789990855474</v>
      </c>
      <c r="E18" s="23">
        <f t="shared" si="1"/>
        <v>27.071738555302563</v>
      </c>
      <c r="F18" s="23"/>
      <c r="G18" s="23">
        <f t="shared" si="1"/>
        <v>11653.702781770386</v>
      </c>
      <c r="H18" s="23">
        <f t="shared" si="1"/>
        <v>2498.428859125891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9.0806908704972912E-3</v>
      </c>
      <c r="H50" s="321">
        <f t="shared" si="2"/>
        <v>0</v>
      </c>
      <c r="I50" s="321">
        <f t="shared" si="2"/>
        <v>0</v>
      </c>
      <c r="J50" s="321">
        <f t="shared" si="2"/>
        <v>0</v>
      </c>
      <c r="K50" s="321">
        <f t="shared" si="2"/>
        <v>0</v>
      </c>
      <c r="L50" s="321">
        <f t="shared" si="2"/>
        <v>0</v>
      </c>
      <c r="M50" s="321">
        <f t="shared" si="2"/>
        <v>5.1574315404077367E-4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9.0806908704972912E-3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5.1574315404077367E-4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2522.4141306936922</v>
      </c>
      <c r="H54" s="21">
        <f t="shared" si="3"/>
        <v>0</v>
      </c>
      <c r="I54" s="21">
        <f t="shared" si="3"/>
        <v>0</v>
      </c>
      <c r="J54" s="21">
        <f t="shared" si="3"/>
        <v>0</v>
      </c>
      <c r="K54" s="21">
        <f t="shared" si="3"/>
        <v>0</v>
      </c>
      <c r="L54" s="21">
        <f t="shared" si="3"/>
        <v>0</v>
      </c>
      <c r="M54" s="21">
        <f t="shared" si="3"/>
        <v>143.26198723354824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0.21485284804313479</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673.48457289521582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9235.1545826930123</v>
      </c>
      <c r="C6" s="1204"/>
      <c r="D6" s="1189"/>
      <c r="E6" s="1189"/>
      <c r="F6" s="1207"/>
      <c r="G6" s="1210"/>
      <c r="H6" s="1201"/>
      <c r="I6" s="1189"/>
      <c r="J6" s="1189"/>
      <c r="K6" s="1189"/>
      <c r="L6" s="1193"/>
      <c r="M6" s="575"/>
      <c r="N6" s="1167"/>
      <c r="O6" s="1168"/>
      <c r="Q6" s="573"/>
      <c r="R6" s="1155"/>
      <c r="S6" s="1155"/>
    </row>
    <row r="7" spans="1:19" s="563" customFormat="1">
      <c r="A7" s="576" t="s">
        <v>252</v>
      </c>
      <c r="B7" s="577">
        <f>N57</f>
        <v>19836.45</v>
      </c>
      <c r="C7" s="578">
        <f>B100</f>
        <v>23182.941176470591</v>
      </c>
      <c r="D7" s="579"/>
      <c r="E7" s="579">
        <f>E100</f>
        <v>0</v>
      </c>
      <c r="F7" s="580"/>
      <c r="G7" s="581"/>
      <c r="H7" s="579">
        <f>I100</f>
        <v>0</v>
      </c>
      <c r="I7" s="579">
        <f>G100+F100</f>
        <v>0</v>
      </c>
      <c r="J7" s="579">
        <f>H100+D100+C100</f>
        <v>154.05882352941177</v>
      </c>
      <c r="K7" s="579"/>
      <c r="L7" s="582"/>
      <c r="M7" s="583">
        <f>C7*$C$11+D7*$D$11+E7*$E$11+F7*$F$11+G7*$G$11+H7*$H$11+I7*$I$11+J7*$J$11</f>
        <v>4682.9541176470593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29071.604582693013</v>
      </c>
      <c r="C9" s="594">
        <f t="shared" ref="C9:L9" si="0">SUM(C7:C8)</f>
        <v>23182.941176470591</v>
      </c>
      <c r="D9" s="594">
        <f t="shared" si="0"/>
        <v>0</v>
      </c>
      <c r="E9" s="594">
        <f t="shared" si="0"/>
        <v>0</v>
      </c>
      <c r="F9" s="594">
        <f t="shared" si="0"/>
        <v>0</v>
      </c>
      <c r="G9" s="594">
        <f t="shared" si="0"/>
        <v>0</v>
      </c>
      <c r="H9" s="594">
        <f t="shared" si="0"/>
        <v>0</v>
      </c>
      <c r="I9" s="594">
        <f t="shared" si="0"/>
        <v>0</v>
      </c>
      <c r="J9" s="594">
        <f t="shared" si="0"/>
        <v>154.05882352941177</v>
      </c>
      <c r="K9" s="594">
        <f t="shared" si="0"/>
        <v>0</v>
      </c>
      <c r="L9" s="594">
        <f t="shared" si="0"/>
        <v>0</v>
      </c>
      <c r="M9" s="595">
        <f>SUM(M4:M8)</f>
        <v>4682.9541176470593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28337.785714285714</v>
      </c>
      <c r="C16" s="610">
        <f>B101</f>
        <v>33118.487394957985</v>
      </c>
      <c r="D16" s="611"/>
      <c r="E16" s="611">
        <f>E101</f>
        <v>0</v>
      </c>
      <c r="F16" s="612"/>
      <c r="G16" s="613"/>
      <c r="H16" s="610">
        <f>I101</f>
        <v>0</v>
      </c>
      <c r="I16" s="611">
        <f>G101+F101</f>
        <v>0</v>
      </c>
      <c r="J16" s="611">
        <f>H101+D101+C101</f>
        <v>220.08403361344537</v>
      </c>
      <c r="K16" s="611"/>
      <c r="L16" s="614"/>
      <c r="M16" s="615">
        <f>C16*$C$21+E16*$E$21+H16*$H$21+I16*$I$21+J16*$J$21+D16*$D$21+F16*$F$21+G16*$G$21+K16*$K$21+L16*$L$21</f>
        <v>6689.9344537815132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28337.785714285714</v>
      </c>
      <c r="C19" s="593">
        <f>SUM(C16:C18)</f>
        <v>33118.487394957985</v>
      </c>
      <c r="D19" s="593">
        <f t="shared" ref="D19:M19" si="1">SUM(D16:D18)</f>
        <v>0</v>
      </c>
      <c r="E19" s="593">
        <f t="shared" si="1"/>
        <v>0</v>
      </c>
      <c r="F19" s="593">
        <f t="shared" si="1"/>
        <v>0</v>
      </c>
      <c r="G19" s="593">
        <f t="shared" si="1"/>
        <v>0</v>
      </c>
      <c r="H19" s="593">
        <f t="shared" si="1"/>
        <v>0</v>
      </c>
      <c r="I19" s="593">
        <f t="shared" si="1"/>
        <v>0</v>
      </c>
      <c r="J19" s="593">
        <f t="shared" si="1"/>
        <v>220.08403361344537</v>
      </c>
      <c r="K19" s="593">
        <f t="shared" si="1"/>
        <v>0</v>
      </c>
      <c r="L19" s="593">
        <f t="shared" si="1"/>
        <v>0</v>
      </c>
      <c r="M19" s="620">
        <f t="shared" si="1"/>
        <v>6689.9344537815132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13004</v>
      </c>
      <c r="C27" s="851">
        <v>2340</v>
      </c>
      <c r="D27" s="672" t="s">
        <v>809</v>
      </c>
      <c r="E27" s="671" t="s">
        <v>810</v>
      </c>
      <c r="F27" s="671" t="s">
        <v>811</v>
      </c>
      <c r="G27" s="671" t="s">
        <v>812</v>
      </c>
      <c r="H27" s="671" t="s">
        <v>813</v>
      </c>
      <c r="I27" s="671" t="s">
        <v>810</v>
      </c>
      <c r="J27" s="850">
        <v>40149</v>
      </c>
      <c r="K27" s="850">
        <v>40149</v>
      </c>
      <c r="L27" s="671" t="s">
        <v>814</v>
      </c>
      <c r="M27" s="671">
        <v>4309</v>
      </c>
      <c r="N27" s="671">
        <v>19390.5</v>
      </c>
      <c r="O27" s="671">
        <v>27700.714285714286</v>
      </c>
      <c r="P27" s="671">
        <v>55401.428571428572</v>
      </c>
      <c r="Q27" s="671">
        <v>0</v>
      </c>
      <c r="R27" s="671">
        <v>0</v>
      </c>
      <c r="S27" s="671">
        <v>0</v>
      </c>
      <c r="T27" s="671">
        <v>0</v>
      </c>
      <c r="U27" s="671">
        <v>0</v>
      </c>
      <c r="V27" s="671">
        <v>0</v>
      </c>
      <c r="W27" s="671">
        <v>0</v>
      </c>
      <c r="X27" s="671">
        <v>10</v>
      </c>
      <c r="Y27" s="671" t="s">
        <v>112</v>
      </c>
      <c r="Z27" s="673" t="s">
        <v>112</v>
      </c>
    </row>
    <row r="28" spans="1:26" s="625" customFormat="1" ht="25.5">
      <c r="A28" s="624"/>
      <c r="B28" s="851">
        <v>13004</v>
      </c>
      <c r="C28" s="851">
        <v>2340</v>
      </c>
      <c r="D28" s="672" t="s">
        <v>815</v>
      </c>
      <c r="E28" s="671" t="s">
        <v>816</v>
      </c>
      <c r="F28" s="671" t="s">
        <v>817</v>
      </c>
      <c r="G28" s="671" t="s">
        <v>812</v>
      </c>
      <c r="H28" s="671" t="s">
        <v>813</v>
      </c>
      <c r="I28" s="671" t="s">
        <v>818</v>
      </c>
      <c r="J28" s="850">
        <v>41165</v>
      </c>
      <c r="K28" s="850">
        <v>41275</v>
      </c>
      <c r="L28" s="671" t="s">
        <v>814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13004</v>
      </c>
      <c r="C29" s="851">
        <v>2340</v>
      </c>
      <c r="D29" s="672" t="s">
        <v>815</v>
      </c>
      <c r="E29" s="671" t="s">
        <v>816</v>
      </c>
      <c r="F29" s="671" t="s">
        <v>819</v>
      </c>
      <c r="G29" s="671" t="s">
        <v>812</v>
      </c>
      <c r="H29" s="671" t="s">
        <v>813</v>
      </c>
      <c r="I29" s="671" t="s">
        <v>820</v>
      </c>
      <c r="J29" s="850">
        <v>41236</v>
      </c>
      <c r="K29" s="850">
        <v>41275</v>
      </c>
      <c r="L29" s="671" t="s">
        <v>814</v>
      </c>
      <c r="M29" s="671">
        <v>19.399999999999999</v>
      </c>
      <c r="N29" s="671">
        <v>87.299999999999983</v>
      </c>
      <c r="O29" s="671">
        <v>124.71428571428569</v>
      </c>
      <c r="P29" s="671">
        <v>0</v>
      </c>
      <c r="Q29" s="671">
        <v>249.42857142857139</v>
      </c>
      <c r="R29" s="671">
        <v>0</v>
      </c>
      <c r="S29" s="671">
        <v>0</v>
      </c>
      <c r="T29" s="671">
        <v>0</v>
      </c>
      <c r="U29" s="671">
        <v>0</v>
      </c>
      <c r="V29" s="671">
        <v>0</v>
      </c>
      <c r="W29" s="671">
        <v>0</v>
      </c>
      <c r="X29" s="671">
        <v>10</v>
      </c>
      <c r="Y29" s="671" t="s">
        <v>112</v>
      </c>
      <c r="Z29" s="673" t="s">
        <v>112</v>
      </c>
    </row>
    <row r="30" spans="1:26" s="625" customFormat="1" ht="63.75">
      <c r="A30" s="624"/>
      <c r="B30" s="851">
        <v>13004</v>
      </c>
      <c r="C30" s="851">
        <v>2340</v>
      </c>
      <c r="D30" s="672" t="s">
        <v>821</v>
      </c>
      <c r="E30" s="671" t="s">
        <v>822</v>
      </c>
      <c r="F30" s="671" t="s">
        <v>823</v>
      </c>
      <c r="G30" s="671" t="s">
        <v>812</v>
      </c>
      <c r="H30" s="671" t="s">
        <v>813</v>
      </c>
      <c r="I30" s="671" t="s">
        <v>822</v>
      </c>
      <c r="J30" s="850">
        <v>41397</v>
      </c>
      <c r="K30" s="850">
        <v>41375</v>
      </c>
      <c r="L30" s="671" t="s">
        <v>814</v>
      </c>
      <c r="M30" s="671">
        <v>70</v>
      </c>
      <c r="N30" s="671">
        <v>315.00000000000006</v>
      </c>
      <c r="O30" s="671">
        <v>450.00000000000011</v>
      </c>
      <c r="P30" s="671">
        <v>900.00000000000023</v>
      </c>
      <c r="Q30" s="671">
        <v>0</v>
      </c>
      <c r="R30" s="671">
        <v>0</v>
      </c>
      <c r="S30" s="671">
        <v>0</v>
      </c>
      <c r="T30" s="671">
        <v>0</v>
      </c>
      <c r="U30" s="671">
        <v>0</v>
      </c>
      <c r="V30" s="671">
        <v>0</v>
      </c>
      <c r="W30" s="671">
        <v>0</v>
      </c>
      <c r="X30" s="671">
        <v>1600</v>
      </c>
      <c r="Y30" s="671" t="s">
        <v>50</v>
      </c>
      <c r="Z30" s="673" t="s">
        <v>156</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4408.0999999999995</v>
      </c>
      <c r="N57" s="629">
        <f>SUM(N27:N56)</f>
        <v>19836.45</v>
      </c>
      <c r="O57" s="629">
        <f t="shared" ref="O57:W57" si="2">SUM(O27:O56)</f>
        <v>28337.785714285714</v>
      </c>
      <c r="P57" s="629">
        <f t="shared" si="2"/>
        <v>56301.428571428572</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450.00000000000011</v>
      </c>
      <c r="P59" s="629">
        <f ca="1">SUMIF($Z$27:AD56,"tertiair",P27:P56)</f>
        <v>900.00000000000023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4338.0999999999995</v>
      </c>
      <c r="N60" s="634">
        <f t="shared" ref="N60:W60" si="4">SUMIF($Z$27:$Z$56,"landbouw",N27:N56)</f>
        <v>19521.45</v>
      </c>
      <c r="O60" s="634">
        <f t="shared" si="4"/>
        <v>27887.785714285714</v>
      </c>
      <c r="P60" s="634">
        <f t="shared" si="4"/>
        <v>55401.428571428572</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23182.941176470591</v>
      </c>
      <c r="C100" s="663">
        <f t="shared" si="9"/>
        <v>154.05882352941177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33118.487394957985</v>
      </c>
      <c r="C101" s="666">
        <f t="shared" ref="C101:H101" si="10">$B$97*Q57</f>
        <v>220.08403361344537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15257.68778506833</v>
      </c>
      <c r="D10" s="718">
        <f ca="1">tertiair!C16</f>
        <v>450.00000000000011</v>
      </c>
      <c r="E10" s="718">
        <f ca="1">tertiair!D16</f>
        <v>18769.71053137978</v>
      </c>
      <c r="F10" s="718">
        <f>tertiair!E16</f>
        <v>242.83415396987829</v>
      </c>
      <c r="G10" s="718">
        <f ca="1">tertiair!F16</f>
        <v>2460.7687619862436</v>
      </c>
      <c r="H10" s="718">
        <f>tertiair!G16</f>
        <v>0</v>
      </c>
      <c r="I10" s="718">
        <f>tertiair!H16</f>
        <v>0</v>
      </c>
      <c r="J10" s="718">
        <f>tertiair!I16</f>
        <v>0</v>
      </c>
      <c r="K10" s="718">
        <f>tertiair!J16</f>
        <v>3.1072955424853353E-2</v>
      </c>
      <c r="L10" s="718">
        <f>tertiair!K16</f>
        <v>0</v>
      </c>
      <c r="M10" s="718">
        <f ca="1">tertiair!L16</f>
        <v>0</v>
      </c>
      <c r="N10" s="718">
        <f>tertiair!M16</f>
        <v>0</v>
      </c>
      <c r="O10" s="718">
        <f ca="1">tertiair!N16</f>
        <v>1238.3837835471522</v>
      </c>
      <c r="P10" s="718">
        <f>tertiair!O16</f>
        <v>4.6900000000000004</v>
      </c>
      <c r="Q10" s="719">
        <f>tertiair!P16</f>
        <v>95.333333333333343</v>
      </c>
      <c r="R10" s="721">
        <f ca="1">SUM(C10:Q10)</f>
        <v>38519.439422240146</v>
      </c>
      <c r="S10" s="67"/>
    </row>
    <row r="11" spans="1:19" s="474" customFormat="1">
      <c r="A11" s="870" t="s">
        <v>225</v>
      </c>
      <c r="B11" s="875"/>
      <c r="C11" s="718">
        <f>huishoudens!B8</f>
        <v>31179.549446937235</v>
      </c>
      <c r="D11" s="718">
        <f>huishoudens!C8</f>
        <v>0</v>
      </c>
      <c r="E11" s="718">
        <f>huishoudens!D8</f>
        <v>85353.01410102543</v>
      </c>
      <c r="F11" s="718">
        <f>huishoudens!E8</f>
        <v>2440.1574302522213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31600.511406740756</v>
      </c>
      <c r="P11" s="718">
        <f>huishoudens!O8</f>
        <v>403.34000000000009</v>
      </c>
      <c r="Q11" s="719">
        <f>huishoudens!P8</f>
        <v>1124.9333333333334</v>
      </c>
      <c r="R11" s="721">
        <f>SUM(C11:Q11)</f>
        <v>152101.50571828894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235288.709766555</v>
      </c>
      <c r="D13" s="718">
        <f>industrie!C18</f>
        <v>0</v>
      </c>
      <c r="E13" s="718">
        <f>industrie!D18</f>
        <v>407834.36746705294</v>
      </c>
      <c r="F13" s="718">
        <f>industrie!E18</f>
        <v>3736.2019974018058</v>
      </c>
      <c r="G13" s="718">
        <f>industrie!F18</f>
        <v>37788.747315803426</v>
      </c>
      <c r="H13" s="718">
        <f>industrie!G18</f>
        <v>0</v>
      </c>
      <c r="I13" s="718">
        <f>industrie!H18</f>
        <v>0</v>
      </c>
      <c r="J13" s="718">
        <f>industrie!I18</f>
        <v>0</v>
      </c>
      <c r="K13" s="718">
        <f>industrie!J18</f>
        <v>26580.785862600289</v>
      </c>
      <c r="L13" s="718">
        <f>industrie!K18</f>
        <v>0</v>
      </c>
      <c r="M13" s="718">
        <f>industrie!L18</f>
        <v>0</v>
      </c>
      <c r="N13" s="718">
        <f>industrie!M18</f>
        <v>0</v>
      </c>
      <c r="O13" s="718">
        <f>industrie!N18</f>
        <v>13824.966075404376</v>
      </c>
      <c r="P13" s="718">
        <f>industrie!O18</f>
        <v>0</v>
      </c>
      <c r="Q13" s="719">
        <f>industrie!P18</f>
        <v>0</v>
      </c>
      <c r="R13" s="721">
        <f>SUM(C13:Q13)</f>
        <v>725053.77848481783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281725.94699856057</v>
      </c>
      <c r="D15" s="723">
        <f t="shared" ref="D15:Q15" ca="1" si="0">SUM(D9:D14)</f>
        <v>450.00000000000011</v>
      </c>
      <c r="E15" s="723">
        <f t="shared" ca="1" si="0"/>
        <v>511957.09209945815</v>
      </c>
      <c r="F15" s="723">
        <f t="shared" si="0"/>
        <v>6419.1935816239056</v>
      </c>
      <c r="G15" s="723">
        <f t="shared" ca="1" si="0"/>
        <v>40249.516077789667</v>
      </c>
      <c r="H15" s="723">
        <f t="shared" si="0"/>
        <v>0</v>
      </c>
      <c r="I15" s="723">
        <f t="shared" si="0"/>
        <v>0</v>
      </c>
      <c r="J15" s="723">
        <f t="shared" si="0"/>
        <v>0</v>
      </c>
      <c r="K15" s="723">
        <f t="shared" si="0"/>
        <v>26580.816935555715</v>
      </c>
      <c r="L15" s="723">
        <f t="shared" si="0"/>
        <v>0</v>
      </c>
      <c r="M15" s="723">
        <f t="shared" ca="1" si="0"/>
        <v>0</v>
      </c>
      <c r="N15" s="723">
        <f t="shared" si="0"/>
        <v>0</v>
      </c>
      <c r="O15" s="723">
        <f t="shared" ca="1" si="0"/>
        <v>46663.861265692278</v>
      </c>
      <c r="P15" s="723">
        <f t="shared" si="0"/>
        <v>408.03000000000009</v>
      </c>
      <c r="Q15" s="724">
        <f t="shared" si="0"/>
        <v>1220.2666666666667</v>
      </c>
      <c r="R15" s="725">
        <f ca="1">SUM(R9:R14)</f>
        <v>915674.7236253469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2522.4141306936922</v>
      </c>
      <c r="I18" s="718">
        <f>transport!H54</f>
        <v>0</v>
      </c>
      <c r="J18" s="718">
        <f>transport!I54</f>
        <v>0</v>
      </c>
      <c r="K18" s="718">
        <f>transport!J54</f>
        <v>0</v>
      </c>
      <c r="L18" s="718">
        <f>transport!K54</f>
        <v>0</v>
      </c>
      <c r="M18" s="718">
        <f>transport!L54</f>
        <v>0</v>
      </c>
      <c r="N18" s="718">
        <f>transport!M54</f>
        <v>143.26198723354824</v>
      </c>
      <c r="O18" s="718">
        <f>transport!N54</f>
        <v>0</v>
      </c>
      <c r="P18" s="718">
        <f>transport!O54</f>
        <v>0</v>
      </c>
      <c r="Q18" s="719">
        <f>transport!P54</f>
        <v>0</v>
      </c>
      <c r="R18" s="721">
        <f>SUM(C18:Q18)</f>
        <v>2665.6761179272403</v>
      </c>
      <c r="S18" s="67"/>
    </row>
    <row r="19" spans="1:19" s="474" customFormat="1" ht="15" thickBot="1">
      <c r="A19" s="870" t="s">
        <v>307</v>
      </c>
      <c r="B19" s="875"/>
      <c r="C19" s="727">
        <f>transport!B14</f>
        <v>26.7074853131212</v>
      </c>
      <c r="D19" s="727">
        <f>transport!C14</f>
        <v>0</v>
      </c>
      <c r="E19" s="727">
        <f>transport!D14</f>
        <v>88.756386093343934</v>
      </c>
      <c r="F19" s="727">
        <f>transport!E14</f>
        <v>119.25876015551789</v>
      </c>
      <c r="G19" s="727">
        <f>transport!F14</f>
        <v>0</v>
      </c>
      <c r="H19" s="727">
        <f>transport!G14</f>
        <v>43646.826898016421</v>
      </c>
      <c r="I19" s="727">
        <f>transport!H14</f>
        <v>10033.850839863017</v>
      </c>
      <c r="J19" s="727">
        <f>transport!I14</f>
        <v>0</v>
      </c>
      <c r="K19" s="727">
        <f>transport!J14</f>
        <v>0</v>
      </c>
      <c r="L19" s="727">
        <f>transport!K14</f>
        <v>0</v>
      </c>
      <c r="M19" s="727">
        <f>transport!L14</f>
        <v>0</v>
      </c>
      <c r="N19" s="727">
        <f>transport!M14</f>
        <v>2847.8873198438041</v>
      </c>
      <c r="O19" s="727">
        <f>transport!N14</f>
        <v>0</v>
      </c>
      <c r="P19" s="727">
        <f>transport!O14</f>
        <v>0</v>
      </c>
      <c r="Q19" s="728">
        <f>transport!P14</f>
        <v>0</v>
      </c>
      <c r="R19" s="729">
        <f>SUM(C19:Q19)</f>
        <v>56763.287689285222</v>
      </c>
      <c r="S19" s="67"/>
    </row>
    <row r="20" spans="1:19" s="474" customFormat="1" ht="15.75" thickBot="1">
      <c r="A20" s="730" t="s">
        <v>230</v>
      </c>
      <c r="B20" s="878"/>
      <c r="C20" s="873">
        <f>SUM(C17:C19)</f>
        <v>26.7074853131212</v>
      </c>
      <c r="D20" s="731">
        <f t="shared" ref="D20:R20" si="1">SUM(D17:D19)</f>
        <v>0</v>
      </c>
      <c r="E20" s="731">
        <f t="shared" si="1"/>
        <v>88.756386093343934</v>
      </c>
      <c r="F20" s="731">
        <f t="shared" si="1"/>
        <v>119.25876015551789</v>
      </c>
      <c r="G20" s="731">
        <f t="shared" si="1"/>
        <v>0</v>
      </c>
      <c r="H20" s="731">
        <f t="shared" si="1"/>
        <v>46169.241028710116</v>
      </c>
      <c r="I20" s="731">
        <f t="shared" si="1"/>
        <v>10033.850839863017</v>
      </c>
      <c r="J20" s="731">
        <f t="shared" si="1"/>
        <v>0</v>
      </c>
      <c r="K20" s="731">
        <f t="shared" si="1"/>
        <v>0</v>
      </c>
      <c r="L20" s="731">
        <f t="shared" si="1"/>
        <v>0</v>
      </c>
      <c r="M20" s="731">
        <f t="shared" si="1"/>
        <v>0</v>
      </c>
      <c r="N20" s="731">
        <f t="shared" si="1"/>
        <v>2991.1493070773522</v>
      </c>
      <c r="O20" s="731">
        <f t="shared" si="1"/>
        <v>0</v>
      </c>
      <c r="P20" s="731">
        <f t="shared" si="1"/>
        <v>0</v>
      </c>
      <c r="Q20" s="732">
        <f t="shared" si="1"/>
        <v>0</v>
      </c>
      <c r="R20" s="733">
        <f t="shared" si="1"/>
        <v>59428.963807212465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1609.5443605441931</v>
      </c>
      <c r="D22" s="727">
        <f>+landbouw!C8</f>
        <v>27887.785714285714</v>
      </c>
      <c r="E22" s="727">
        <f>+landbouw!D8</f>
        <v>0</v>
      </c>
      <c r="F22" s="727">
        <f>+landbouw!E8</f>
        <v>47.309424872296397</v>
      </c>
      <c r="G22" s="727">
        <f>+landbouw!F8</f>
        <v>6705.2748308149903</v>
      </c>
      <c r="H22" s="727">
        <f>+landbouw!G8</f>
        <v>0</v>
      </c>
      <c r="I22" s="727">
        <f>+landbouw!H8</f>
        <v>0</v>
      </c>
      <c r="J22" s="727">
        <f>+landbouw!I8</f>
        <v>0</v>
      </c>
      <c r="K22" s="727">
        <f>+landbouw!J8</f>
        <v>233.18841248204507</v>
      </c>
      <c r="L22" s="727">
        <f>+landbouw!K8</f>
        <v>0</v>
      </c>
      <c r="M22" s="727">
        <f>+landbouw!L8</f>
        <v>0</v>
      </c>
      <c r="N22" s="727">
        <f>+landbouw!M8</f>
        <v>0</v>
      </c>
      <c r="O22" s="727">
        <f>+landbouw!N8</f>
        <v>0</v>
      </c>
      <c r="P22" s="727">
        <f>+landbouw!O8</f>
        <v>0</v>
      </c>
      <c r="Q22" s="728">
        <f>+landbouw!P8</f>
        <v>0</v>
      </c>
      <c r="R22" s="729">
        <f>SUM(C22:Q22)</f>
        <v>36483.102742999239</v>
      </c>
      <c r="S22" s="67"/>
    </row>
    <row r="23" spans="1:19" s="474" customFormat="1" ht="17.25" thickTop="1" thickBot="1">
      <c r="A23" s="734" t="s">
        <v>116</v>
      </c>
      <c r="B23" s="864"/>
      <c r="C23" s="735">
        <f ca="1">C20+C15+C22</f>
        <v>283362.19884441787</v>
      </c>
      <c r="D23" s="735">
        <f t="shared" ref="D23:Q23" ca="1" si="2">D20+D15+D22</f>
        <v>28337.785714285714</v>
      </c>
      <c r="E23" s="735">
        <f t="shared" ca="1" si="2"/>
        <v>512045.84848555148</v>
      </c>
      <c r="F23" s="735">
        <f t="shared" si="2"/>
        <v>6585.7617666517199</v>
      </c>
      <c r="G23" s="735">
        <f t="shared" ca="1" si="2"/>
        <v>46954.790908604657</v>
      </c>
      <c r="H23" s="735">
        <f t="shared" si="2"/>
        <v>46169.241028710116</v>
      </c>
      <c r="I23" s="735">
        <f t="shared" si="2"/>
        <v>10033.850839863017</v>
      </c>
      <c r="J23" s="735">
        <f t="shared" si="2"/>
        <v>0</v>
      </c>
      <c r="K23" s="735">
        <f t="shared" si="2"/>
        <v>26814.005348037761</v>
      </c>
      <c r="L23" s="735">
        <f t="shared" si="2"/>
        <v>0</v>
      </c>
      <c r="M23" s="735">
        <f t="shared" ca="1" si="2"/>
        <v>0</v>
      </c>
      <c r="N23" s="735">
        <f t="shared" si="2"/>
        <v>2991.1493070773522</v>
      </c>
      <c r="O23" s="735">
        <f t="shared" ca="1" si="2"/>
        <v>46663.861265692278</v>
      </c>
      <c r="P23" s="735">
        <f t="shared" si="2"/>
        <v>408.03000000000009</v>
      </c>
      <c r="Q23" s="736">
        <f t="shared" si="2"/>
        <v>1220.2666666666667</v>
      </c>
      <c r="R23" s="737">
        <f ca="1">R20+R15+R22</f>
        <v>1011586.7901755585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3278.1576751748798</v>
      </c>
      <c r="D36" s="718">
        <f ca="1">tertiair!C20</f>
        <v>106.23520604448765</v>
      </c>
      <c r="E36" s="718">
        <f ca="1">tertiair!D20</f>
        <v>3791.4815273387158</v>
      </c>
      <c r="F36" s="718">
        <f>tertiair!E20</f>
        <v>55.123352951162374</v>
      </c>
      <c r="G36" s="718">
        <f ca="1">tertiair!F20</f>
        <v>657.0252594503271</v>
      </c>
      <c r="H36" s="718">
        <f>tertiair!G20</f>
        <v>0</v>
      </c>
      <c r="I36" s="718">
        <f>tertiair!H20</f>
        <v>0</v>
      </c>
      <c r="J36" s="718">
        <f>tertiair!I20</f>
        <v>0</v>
      </c>
      <c r="K36" s="718">
        <f>tertiair!J20</f>
        <v>1.0999826220398086E-2</v>
      </c>
      <c r="L36" s="718">
        <f>tertiair!K20</f>
        <v>0</v>
      </c>
      <c r="M36" s="718">
        <f ca="1">tertiair!L20</f>
        <v>0</v>
      </c>
      <c r="N36" s="718">
        <f>tertiair!M20</f>
        <v>0</v>
      </c>
      <c r="O36" s="718">
        <f ca="1">tertiair!N20</f>
        <v>0</v>
      </c>
      <c r="P36" s="718">
        <f>tertiair!O20</f>
        <v>0</v>
      </c>
      <c r="Q36" s="828">
        <f>tertiair!P20</f>
        <v>0</v>
      </c>
      <c r="R36" s="917">
        <f ca="1">SUM(C36:Q36)</f>
        <v>7888.0340207857944</v>
      </c>
    </row>
    <row r="37" spans="1:18">
      <c r="A37" s="885" t="s">
        <v>225</v>
      </c>
      <c r="B37" s="892"/>
      <c r="C37" s="718">
        <f ca="1">huishoudens!B12</f>
        <v>6699.0149993762134</v>
      </c>
      <c r="D37" s="718">
        <f ca="1">huishoudens!C12</f>
        <v>0</v>
      </c>
      <c r="E37" s="718">
        <f>huishoudens!D12</f>
        <v>17241.308848407138</v>
      </c>
      <c r="F37" s="718">
        <f>huishoudens!E12</f>
        <v>553.91573666725424</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24494.239584450606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50552.449405738887</v>
      </c>
      <c r="D39" s="718">
        <f ca="1">industrie!C22</f>
        <v>0</v>
      </c>
      <c r="E39" s="718">
        <f>industrie!D22</f>
        <v>82382.542228344697</v>
      </c>
      <c r="F39" s="718">
        <f>industrie!E22</f>
        <v>848.11785341020993</v>
      </c>
      <c r="G39" s="718">
        <f>industrie!F22</f>
        <v>10089.595533319516</v>
      </c>
      <c r="H39" s="718">
        <f>industrie!G22</f>
        <v>0</v>
      </c>
      <c r="I39" s="718">
        <f>industrie!H22</f>
        <v>0</v>
      </c>
      <c r="J39" s="718">
        <f>industrie!I22</f>
        <v>0</v>
      </c>
      <c r="K39" s="718">
        <f>industrie!J22</f>
        <v>9409.5981953605024</v>
      </c>
      <c r="L39" s="718">
        <f>industrie!K22</f>
        <v>0</v>
      </c>
      <c r="M39" s="718">
        <f>industrie!L22</f>
        <v>0</v>
      </c>
      <c r="N39" s="718">
        <f>industrie!M22</f>
        <v>0</v>
      </c>
      <c r="O39" s="718">
        <f>industrie!N22</f>
        <v>0</v>
      </c>
      <c r="P39" s="718">
        <f>industrie!O22</f>
        <v>0</v>
      </c>
      <c r="Q39" s="828">
        <f>industrie!P22</f>
        <v>0</v>
      </c>
      <c r="R39" s="918">
        <f ca="1">SUM(C39:Q39)</f>
        <v>153282.30321617384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60529.622080289977</v>
      </c>
      <c r="D41" s="763">
        <f t="shared" ref="D41:R41" ca="1" si="4">SUM(D35:D40)</f>
        <v>106.23520604448765</v>
      </c>
      <c r="E41" s="763">
        <f t="shared" ca="1" si="4"/>
        <v>103415.33260409055</v>
      </c>
      <c r="F41" s="763">
        <f t="shared" si="4"/>
        <v>1457.1569430286265</v>
      </c>
      <c r="G41" s="763">
        <f t="shared" ca="1" si="4"/>
        <v>10746.620792769843</v>
      </c>
      <c r="H41" s="763">
        <f t="shared" si="4"/>
        <v>0</v>
      </c>
      <c r="I41" s="763">
        <f t="shared" si="4"/>
        <v>0</v>
      </c>
      <c r="J41" s="763">
        <f t="shared" si="4"/>
        <v>0</v>
      </c>
      <c r="K41" s="763">
        <f t="shared" si="4"/>
        <v>9409.609195186722</v>
      </c>
      <c r="L41" s="763">
        <f t="shared" si="4"/>
        <v>0</v>
      </c>
      <c r="M41" s="763">
        <f t="shared" ca="1" si="4"/>
        <v>0</v>
      </c>
      <c r="N41" s="763">
        <f t="shared" si="4"/>
        <v>0</v>
      </c>
      <c r="O41" s="763">
        <f t="shared" ca="1" si="4"/>
        <v>0</v>
      </c>
      <c r="P41" s="763">
        <f t="shared" si="4"/>
        <v>0</v>
      </c>
      <c r="Q41" s="764">
        <f t="shared" si="4"/>
        <v>0</v>
      </c>
      <c r="R41" s="765">
        <f t="shared" ca="1" si="4"/>
        <v>185664.57682141024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673.48457289521582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673.48457289521582</v>
      </c>
    </row>
    <row r="45" spans="1:18" ht="15" thickBot="1">
      <c r="A45" s="888" t="s">
        <v>307</v>
      </c>
      <c r="B45" s="898"/>
      <c r="C45" s="727">
        <f ca="1">transport!B18</f>
        <v>5.7381792835942838</v>
      </c>
      <c r="D45" s="727">
        <f>transport!C18</f>
        <v>0</v>
      </c>
      <c r="E45" s="727">
        <f>transport!D18</f>
        <v>17.928789990855474</v>
      </c>
      <c r="F45" s="727">
        <f>transport!E18</f>
        <v>27.071738555302563</v>
      </c>
      <c r="G45" s="727">
        <f>transport!F18</f>
        <v>0</v>
      </c>
      <c r="H45" s="727">
        <f>transport!G18</f>
        <v>11653.702781770386</v>
      </c>
      <c r="I45" s="727">
        <f>transport!H18</f>
        <v>2498.428859125891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14202.870348726028</v>
      </c>
    </row>
    <row r="46" spans="1:18" ht="15.75" thickBot="1">
      <c r="A46" s="886" t="s">
        <v>230</v>
      </c>
      <c r="B46" s="899"/>
      <c r="C46" s="763">
        <f t="shared" ref="C46:R46" ca="1" si="5">SUM(C43:C45)</f>
        <v>5.7381792835942838</v>
      </c>
      <c r="D46" s="763">
        <f t="shared" ca="1" si="5"/>
        <v>0</v>
      </c>
      <c r="E46" s="763">
        <f t="shared" si="5"/>
        <v>17.928789990855474</v>
      </c>
      <c r="F46" s="763">
        <f t="shared" si="5"/>
        <v>27.071738555302563</v>
      </c>
      <c r="G46" s="763">
        <f t="shared" si="5"/>
        <v>0</v>
      </c>
      <c r="H46" s="763">
        <f t="shared" si="5"/>
        <v>12327.187354665601</v>
      </c>
      <c r="I46" s="763">
        <f t="shared" si="5"/>
        <v>2498.428859125891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14876.354921621243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345.81518991468607</v>
      </c>
      <c r="D48" s="718">
        <f ca="1">+landbouw!C12</f>
        <v>6583.6992477370259</v>
      </c>
      <c r="E48" s="718">
        <f>+landbouw!D12</f>
        <v>0</v>
      </c>
      <c r="F48" s="718">
        <f>+landbouw!E12</f>
        <v>10.739239446011283</v>
      </c>
      <c r="G48" s="718">
        <f>+landbouw!F12</f>
        <v>1790.3083798276025</v>
      </c>
      <c r="H48" s="718">
        <f>+landbouw!G12</f>
        <v>0</v>
      </c>
      <c r="I48" s="718">
        <f>+landbouw!H12</f>
        <v>0</v>
      </c>
      <c r="J48" s="718">
        <f>+landbouw!I12</f>
        <v>0</v>
      </c>
      <c r="K48" s="718">
        <f>+landbouw!J12</f>
        <v>82.548698018643947</v>
      </c>
      <c r="L48" s="718">
        <f>+landbouw!K12</f>
        <v>0</v>
      </c>
      <c r="M48" s="718">
        <f>+landbouw!L12</f>
        <v>0</v>
      </c>
      <c r="N48" s="718">
        <f>+landbouw!M12</f>
        <v>0</v>
      </c>
      <c r="O48" s="718">
        <f>+landbouw!N12</f>
        <v>0</v>
      </c>
      <c r="P48" s="718">
        <f>+landbouw!O12</f>
        <v>0</v>
      </c>
      <c r="Q48" s="719">
        <f>+landbouw!P12</f>
        <v>0</v>
      </c>
      <c r="R48" s="761">
        <f ca="1">SUM(C48:Q48)</f>
        <v>8813.1107549439694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60881.175449488255</v>
      </c>
      <c r="D53" s="773">
        <f t="shared" ref="D53:Q53" ca="1" si="6">D41+D46+D48</f>
        <v>6689.9344537815132</v>
      </c>
      <c r="E53" s="773">
        <f t="shared" ca="1" si="6"/>
        <v>103433.2613940814</v>
      </c>
      <c r="F53" s="773">
        <f t="shared" si="6"/>
        <v>1494.9679210299403</v>
      </c>
      <c r="G53" s="773">
        <f t="shared" ca="1" si="6"/>
        <v>12536.929172597445</v>
      </c>
      <c r="H53" s="773">
        <f t="shared" si="6"/>
        <v>12327.187354665601</v>
      </c>
      <c r="I53" s="773">
        <f t="shared" si="6"/>
        <v>2498.428859125891</v>
      </c>
      <c r="J53" s="773">
        <f t="shared" si="6"/>
        <v>0</v>
      </c>
      <c r="K53" s="773">
        <f t="shared" si="6"/>
        <v>9492.1578932053653</v>
      </c>
      <c r="L53" s="773">
        <f t="shared" si="6"/>
        <v>0</v>
      </c>
      <c r="M53" s="773">
        <f t="shared" ca="1" si="6"/>
        <v>0</v>
      </c>
      <c r="N53" s="773">
        <f t="shared" si="6"/>
        <v>0</v>
      </c>
      <c r="O53" s="773">
        <f t="shared" ca="1" si="6"/>
        <v>0</v>
      </c>
      <c r="P53" s="773">
        <f>P41+P46+P48</f>
        <v>0</v>
      </c>
      <c r="Q53" s="774">
        <f t="shared" si="6"/>
        <v>0</v>
      </c>
      <c r="R53" s="775">
        <f ca="1">R41+R46+R48</f>
        <v>209354.04249797546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0.21485284804313479</v>
      </c>
      <c r="D55" s="836">
        <f t="shared" ca="1" si="7"/>
        <v>0.23607823565441696</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9235.1545826930123</v>
      </c>
      <c r="C66" s="795">
        <f>'lokale energieproductie'!B6</f>
        <v>9235.1545826930123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19836.45</v>
      </c>
      <c r="C67" s="794">
        <f>B67*IFERROR(SUM(J67:L67)/SUM(D67:M67),0)</f>
        <v>130.94999999999999</v>
      </c>
      <c r="D67" s="826">
        <f>'lokale energieproductie'!C7</f>
        <v>23182.941176470591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4682.9541176470593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29071.604582693013</v>
      </c>
      <c r="C69" s="803">
        <f>SUM(C64:C68)</f>
        <v>9366.1045826930131</v>
      </c>
      <c r="D69" s="804">
        <f t="shared" ref="D69:M69" si="8">SUM(D67:D68)</f>
        <v>23182.941176470591</v>
      </c>
      <c r="E69" s="804">
        <f t="shared" si="8"/>
        <v>0</v>
      </c>
      <c r="F69" s="804">
        <f t="shared" si="8"/>
        <v>0</v>
      </c>
      <c r="G69" s="804">
        <f t="shared" si="8"/>
        <v>0</v>
      </c>
      <c r="H69" s="804">
        <f t="shared" si="8"/>
        <v>0</v>
      </c>
      <c r="I69" s="804">
        <f t="shared" si="8"/>
        <v>0</v>
      </c>
      <c r="J69" s="804">
        <f t="shared" si="8"/>
        <v>0</v>
      </c>
      <c r="K69" s="804">
        <f t="shared" si="8"/>
        <v>154.05882352941177</v>
      </c>
      <c r="L69" s="804">
        <f t="shared" si="8"/>
        <v>0</v>
      </c>
      <c r="M69" s="930">
        <f t="shared" si="8"/>
        <v>0</v>
      </c>
      <c r="N69" s="805">
        <v>0</v>
      </c>
      <c r="O69" s="805">
        <f>SUM(O67:O68)</f>
        <v>4682.9541176470593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28337.785714285714</v>
      </c>
      <c r="C78" s="817">
        <f>B78*IFERROR(SUM(I78:L78)/SUM(D78:M78),0)</f>
        <v>187.07142857142856</v>
      </c>
      <c r="D78" s="832">
        <f>'lokale energieproductie'!C16</f>
        <v>33118.487394957985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6689.9344537815132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28337.785714285714</v>
      </c>
      <c r="C81" s="803">
        <f>SUM(C78:C80)</f>
        <v>187.07142857142856</v>
      </c>
      <c r="D81" s="803">
        <f t="shared" ref="D81:P81" si="9">SUM(D78:D80)</f>
        <v>33118.487394957985</v>
      </c>
      <c r="E81" s="803">
        <f t="shared" si="9"/>
        <v>0</v>
      </c>
      <c r="F81" s="803">
        <f t="shared" si="9"/>
        <v>0</v>
      </c>
      <c r="G81" s="803">
        <f t="shared" si="9"/>
        <v>0</v>
      </c>
      <c r="H81" s="803">
        <f t="shared" si="9"/>
        <v>0</v>
      </c>
      <c r="I81" s="803">
        <f t="shared" si="9"/>
        <v>0</v>
      </c>
      <c r="J81" s="803">
        <f t="shared" si="9"/>
        <v>0</v>
      </c>
      <c r="K81" s="803">
        <f t="shared" si="9"/>
        <v>220.08403361344537</v>
      </c>
      <c r="L81" s="803">
        <f t="shared" si="9"/>
        <v>0</v>
      </c>
      <c r="M81" s="803">
        <f t="shared" si="9"/>
        <v>0</v>
      </c>
      <c r="N81" s="803">
        <v>0</v>
      </c>
      <c r="O81" s="803">
        <f>SUM(O78:O80)</f>
        <v>6689.9344537815132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31179.549446937235</v>
      </c>
      <c r="C4" s="478">
        <f>huishoudens!C8</f>
        <v>0</v>
      </c>
      <c r="D4" s="478">
        <f>huishoudens!D8</f>
        <v>85353.01410102543</v>
      </c>
      <c r="E4" s="478">
        <f>huishoudens!E8</f>
        <v>2440.1574302522213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31600.511406740756</v>
      </c>
      <c r="O4" s="478">
        <f>huishoudens!O8</f>
        <v>403.34000000000009</v>
      </c>
      <c r="P4" s="479">
        <f>huishoudens!P8</f>
        <v>1124.9333333333334</v>
      </c>
      <c r="Q4" s="480">
        <f>SUM(B4:P4)</f>
        <v>152101.50571828894</v>
      </c>
    </row>
    <row r="5" spans="1:17">
      <c r="A5" s="477" t="s">
        <v>156</v>
      </c>
      <c r="B5" s="478">
        <f ca="1">tertiair!B16</f>
        <v>14394.057785068331</v>
      </c>
      <c r="C5" s="478">
        <f ca="1">tertiair!C16</f>
        <v>450.00000000000011</v>
      </c>
      <c r="D5" s="478">
        <f ca="1">tertiair!D16</f>
        <v>18769.71053137978</v>
      </c>
      <c r="E5" s="478">
        <f>tertiair!E16</f>
        <v>242.83415396987829</v>
      </c>
      <c r="F5" s="478">
        <f ca="1">tertiair!F16</f>
        <v>2460.7687619862436</v>
      </c>
      <c r="G5" s="478">
        <f>tertiair!G16</f>
        <v>0</v>
      </c>
      <c r="H5" s="478">
        <f>tertiair!H16</f>
        <v>0</v>
      </c>
      <c r="I5" s="478">
        <f>tertiair!I16</f>
        <v>0</v>
      </c>
      <c r="J5" s="478">
        <f>tertiair!J16</f>
        <v>3.1072955424853353E-2</v>
      </c>
      <c r="K5" s="478">
        <f>tertiair!K16</f>
        <v>0</v>
      </c>
      <c r="L5" s="478">
        <f ca="1">tertiair!L16</f>
        <v>0</v>
      </c>
      <c r="M5" s="478">
        <f>tertiair!M16</f>
        <v>0</v>
      </c>
      <c r="N5" s="478">
        <f ca="1">tertiair!N16</f>
        <v>1238.3837835471522</v>
      </c>
      <c r="O5" s="478">
        <f>tertiair!O16</f>
        <v>4.6900000000000004</v>
      </c>
      <c r="P5" s="479">
        <f>tertiair!P16</f>
        <v>95.333333333333343</v>
      </c>
      <c r="Q5" s="477">
        <f t="shared" ref="Q5:Q13" ca="1" si="0">SUM(B5:P5)</f>
        <v>37655.809422240149</v>
      </c>
    </row>
    <row r="6" spans="1:17">
      <c r="A6" s="477" t="s">
        <v>194</v>
      </c>
      <c r="B6" s="478">
        <f>'openbare verlichting'!B8</f>
        <v>863.63</v>
      </c>
      <c r="C6" s="478"/>
      <c r="D6" s="478"/>
      <c r="E6" s="478"/>
      <c r="F6" s="478"/>
      <c r="G6" s="478"/>
      <c r="H6" s="478"/>
      <c r="I6" s="478"/>
      <c r="J6" s="478"/>
      <c r="K6" s="478"/>
      <c r="L6" s="478"/>
      <c r="M6" s="478"/>
      <c r="N6" s="478"/>
      <c r="O6" s="478"/>
      <c r="P6" s="479"/>
      <c r="Q6" s="477">
        <f t="shared" si="0"/>
        <v>863.63</v>
      </c>
    </row>
    <row r="7" spans="1:17">
      <c r="A7" s="477" t="s">
        <v>112</v>
      </c>
      <c r="B7" s="478">
        <f>landbouw!B8</f>
        <v>1609.5443605441931</v>
      </c>
      <c r="C7" s="478">
        <f>landbouw!C8</f>
        <v>27887.785714285714</v>
      </c>
      <c r="D7" s="478">
        <f>landbouw!D8</f>
        <v>0</v>
      </c>
      <c r="E7" s="478">
        <f>landbouw!E8</f>
        <v>47.309424872296397</v>
      </c>
      <c r="F7" s="478">
        <f>landbouw!F8</f>
        <v>6705.2748308149903</v>
      </c>
      <c r="G7" s="478">
        <f>landbouw!G8</f>
        <v>0</v>
      </c>
      <c r="H7" s="478">
        <f>landbouw!H8</f>
        <v>0</v>
      </c>
      <c r="I7" s="478">
        <f>landbouw!I8</f>
        <v>0</v>
      </c>
      <c r="J7" s="478">
        <f>landbouw!J8</f>
        <v>233.18841248204507</v>
      </c>
      <c r="K7" s="478">
        <f>landbouw!K8</f>
        <v>0</v>
      </c>
      <c r="L7" s="478">
        <f>landbouw!L8</f>
        <v>0</v>
      </c>
      <c r="M7" s="478">
        <f>landbouw!M8</f>
        <v>0</v>
      </c>
      <c r="N7" s="478">
        <f>landbouw!N8</f>
        <v>0</v>
      </c>
      <c r="O7" s="478">
        <f>landbouw!O8</f>
        <v>0</v>
      </c>
      <c r="P7" s="479">
        <f>landbouw!P8</f>
        <v>0</v>
      </c>
      <c r="Q7" s="477">
        <f t="shared" si="0"/>
        <v>36483.102742999239</v>
      </c>
    </row>
    <row r="8" spans="1:17">
      <c r="A8" s="477" t="s">
        <v>635</v>
      </c>
      <c r="B8" s="478">
        <f>industrie!B18</f>
        <v>235288.709766555</v>
      </c>
      <c r="C8" s="478">
        <f>industrie!C18</f>
        <v>0</v>
      </c>
      <c r="D8" s="478">
        <f>industrie!D18</f>
        <v>407834.36746705294</v>
      </c>
      <c r="E8" s="478">
        <f>industrie!E18</f>
        <v>3736.2019974018058</v>
      </c>
      <c r="F8" s="478">
        <f>industrie!F18</f>
        <v>37788.747315803426</v>
      </c>
      <c r="G8" s="478">
        <f>industrie!G18</f>
        <v>0</v>
      </c>
      <c r="H8" s="478">
        <f>industrie!H18</f>
        <v>0</v>
      </c>
      <c r="I8" s="478">
        <f>industrie!I18</f>
        <v>0</v>
      </c>
      <c r="J8" s="478">
        <f>industrie!J18</f>
        <v>26580.785862600289</v>
      </c>
      <c r="K8" s="478">
        <f>industrie!K18</f>
        <v>0</v>
      </c>
      <c r="L8" s="478">
        <f>industrie!L18</f>
        <v>0</v>
      </c>
      <c r="M8" s="478">
        <f>industrie!M18</f>
        <v>0</v>
      </c>
      <c r="N8" s="478">
        <f>industrie!N18</f>
        <v>13824.966075404376</v>
      </c>
      <c r="O8" s="478">
        <f>industrie!O18</f>
        <v>0</v>
      </c>
      <c r="P8" s="479">
        <f>industrie!P18</f>
        <v>0</v>
      </c>
      <c r="Q8" s="477">
        <f t="shared" si="0"/>
        <v>725053.77848481783</v>
      </c>
    </row>
    <row r="9" spans="1:17" s="483" customFormat="1">
      <c r="A9" s="481" t="s">
        <v>561</v>
      </c>
      <c r="B9" s="482">
        <f>transport!B14</f>
        <v>26.7074853131212</v>
      </c>
      <c r="C9" s="482">
        <f>transport!C14</f>
        <v>0</v>
      </c>
      <c r="D9" s="482">
        <f>transport!D14</f>
        <v>88.756386093343934</v>
      </c>
      <c r="E9" s="482">
        <f>transport!E14</f>
        <v>119.25876015551789</v>
      </c>
      <c r="F9" s="482">
        <f>transport!F14</f>
        <v>0</v>
      </c>
      <c r="G9" s="482">
        <f>transport!G14</f>
        <v>43646.826898016421</v>
      </c>
      <c r="H9" s="482">
        <f>transport!H14</f>
        <v>10033.850839863017</v>
      </c>
      <c r="I9" s="482">
        <f>transport!I14</f>
        <v>0</v>
      </c>
      <c r="J9" s="482">
        <f>transport!J14</f>
        <v>0</v>
      </c>
      <c r="K9" s="482">
        <f>transport!K14</f>
        <v>0</v>
      </c>
      <c r="L9" s="482">
        <f>transport!L14</f>
        <v>0</v>
      </c>
      <c r="M9" s="482">
        <f>transport!M14</f>
        <v>2847.8873198438041</v>
      </c>
      <c r="N9" s="482">
        <f>transport!N14</f>
        <v>0</v>
      </c>
      <c r="O9" s="482">
        <f>transport!O14</f>
        <v>0</v>
      </c>
      <c r="P9" s="482">
        <f>transport!P14</f>
        <v>0</v>
      </c>
      <c r="Q9" s="481">
        <f>SUM(B9:P9)</f>
        <v>56763.287689285222</v>
      </c>
    </row>
    <row r="10" spans="1:17">
      <c r="A10" s="477" t="s">
        <v>551</v>
      </c>
      <c r="B10" s="478">
        <f>transport!B54</f>
        <v>0</v>
      </c>
      <c r="C10" s="478">
        <f>transport!C54</f>
        <v>0</v>
      </c>
      <c r="D10" s="478">
        <f>transport!D54</f>
        <v>0</v>
      </c>
      <c r="E10" s="478">
        <f>transport!E54</f>
        <v>0</v>
      </c>
      <c r="F10" s="478">
        <f>transport!F54</f>
        <v>0</v>
      </c>
      <c r="G10" s="478">
        <f>transport!G54</f>
        <v>2522.4141306936922</v>
      </c>
      <c r="H10" s="478">
        <f>transport!H54</f>
        <v>0</v>
      </c>
      <c r="I10" s="478">
        <f>transport!I54</f>
        <v>0</v>
      </c>
      <c r="J10" s="478">
        <f>transport!J54</f>
        <v>0</v>
      </c>
      <c r="K10" s="478">
        <f>transport!K54</f>
        <v>0</v>
      </c>
      <c r="L10" s="478">
        <f>transport!L54</f>
        <v>0</v>
      </c>
      <c r="M10" s="478">
        <f>transport!M54</f>
        <v>143.26198723354824</v>
      </c>
      <c r="N10" s="478">
        <f>transport!N54</f>
        <v>0</v>
      </c>
      <c r="O10" s="478">
        <f>transport!O54</f>
        <v>0</v>
      </c>
      <c r="P10" s="479">
        <f>transport!P54</f>
        <v>0</v>
      </c>
      <c r="Q10" s="477">
        <f t="shared" si="0"/>
        <v>2665.6761179272403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283362.19884441787</v>
      </c>
      <c r="C14" s="488">
        <f t="shared" ref="C14:Q14" ca="1" si="1">SUM(C4:C13)</f>
        <v>28337.785714285714</v>
      </c>
      <c r="D14" s="488">
        <f t="shared" ca="1" si="1"/>
        <v>512045.84848555148</v>
      </c>
      <c r="E14" s="488">
        <f t="shared" si="1"/>
        <v>6585.761766651719</v>
      </c>
      <c r="F14" s="488">
        <f t="shared" ca="1" si="1"/>
        <v>46954.790908604657</v>
      </c>
      <c r="G14" s="488">
        <f t="shared" si="1"/>
        <v>46169.241028710116</v>
      </c>
      <c r="H14" s="488">
        <f t="shared" si="1"/>
        <v>10033.850839863017</v>
      </c>
      <c r="I14" s="488">
        <f t="shared" si="1"/>
        <v>0</v>
      </c>
      <c r="J14" s="488">
        <f t="shared" si="1"/>
        <v>26814.005348037757</v>
      </c>
      <c r="K14" s="488">
        <f t="shared" si="1"/>
        <v>0</v>
      </c>
      <c r="L14" s="488">
        <f t="shared" ca="1" si="1"/>
        <v>0</v>
      </c>
      <c r="M14" s="488">
        <f t="shared" si="1"/>
        <v>2991.1493070773522</v>
      </c>
      <c r="N14" s="488">
        <f t="shared" ca="1" si="1"/>
        <v>46663.861265692278</v>
      </c>
      <c r="O14" s="488">
        <f t="shared" si="1"/>
        <v>408.03000000000009</v>
      </c>
      <c r="P14" s="489">
        <f t="shared" si="1"/>
        <v>1220.2666666666667</v>
      </c>
      <c r="Q14" s="489">
        <f t="shared" ca="1" si="1"/>
        <v>1011586.7901755585</v>
      </c>
    </row>
    <row r="16" spans="1:17">
      <c r="A16" s="491" t="s">
        <v>556</v>
      </c>
      <c r="B16" s="841">
        <f ca="1">huishoudens!B10</f>
        <v>0.21485284804313479</v>
      </c>
      <c r="C16" s="841">
        <f ca="1">huishoudens!C10</f>
        <v>0.23607823565441696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6699.0149993762134</v>
      </c>
      <c r="C21" s="478">
        <f t="shared" ref="C21:C30" ca="1" si="3">C4*$C$16</f>
        <v>0</v>
      </c>
      <c r="D21" s="478">
        <f t="shared" ref="D21:D30" si="4">D4*$D$16</f>
        <v>17241.308848407138</v>
      </c>
      <c r="E21" s="478">
        <f t="shared" ref="E21:E30" si="5">E4*$E$16</f>
        <v>553.91573666725424</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24494.239584450606</v>
      </c>
    </row>
    <row r="22" spans="1:17">
      <c r="A22" s="477" t="s">
        <v>156</v>
      </c>
      <c r="B22" s="478">
        <f t="shared" ca="1" si="2"/>
        <v>3092.6043100193874</v>
      </c>
      <c r="C22" s="478">
        <f t="shared" ca="1" si="3"/>
        <v>106.23520604448765</v>
      </c>
      <c r="D22" s="478">
        <f t="shared" ca="1" si="4"/>
        <v>3791.4815273387158</v>
      </c>
      <c r="E22" s="478">
        <f t="shared" si="5"/>
        <v>55.123352951162374</v>
      </c>
      <c r="F22" s="478">
        <f t="shared" ca="1" si="6"/>
        <v>657.0252594503271</v>
      </c>
      <c r="G22" s="478">
        <f t="shared" si="7"/>
        <v>0</v>
      </c>
      <c r="H22" s="478">
        <f t="shared" si="8"/>
        <v>0</v>
      </c>
      <c r="I22" s="478">
        <f t="shared" si="9"/>
        <v>0</v>
      </c>
      <c r="J22" s="478">
        <f t="shared" si="10"/>
        <v>1.0999826220398086E-2</v>
      </c>
      <c r="K22" s="478">
        <f t="shared" si="11"/>
        <v>0</v>
      </c>
      <c r="L22" s="478">
        <f t="shared" ca="1" si="12"/>
        <v>0</v>
      </c>
      <c r="M22" s="478">
        <f t="shared" si="13"/>
        <v>0</v>
      </c>
      <c r="N22" s="478">
        <f t="shared" ca="1" si="14"/>
        <v>0</v>
      </c>
      <c r="O22" s="478">
        <f t="shared" si="15"/>
        <v>0</v>
      </c>
      <c r="P22" s="479">
        <f t="shared" si="16"/>
        <v>0</v>
      </c>
      <c r="Q22" s="477">
        <f t="shared" ref="Q22:Q30" ca="1" si="17">SUM(B22:P22)</f>
        <v>7702.480655630302</v>
      </c>
    </row>
    <row r="23" spans="1:17">
      <c r="A23" s="477" t="s">
        <v>194</v>
      </c>
      <c r="B23" s="478">
        <f t="shared" ca="1" si="2"/>
        <v>185.55336515549249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185.55336515549249</v>
      </c>
    </row>
    <row r="24" spans="1:17">
      <c r="A24" s="477" t="s">
        <v>112</v>
      </c>
      <c r="B24" s="478">
        <f t="shared" ca="1" si="2"/>
        <v>345.81518991468607</v>
      </c>
      <c r="C24" s="478">
        <f t="shared" ca="1" si="3"/>
        <v>6583.6992477370259</v>
      </c>
      <c r="D24" s="478">
        <f t="shared" si="4"/>
        <v>0</v>
      </c>
      <c r="E24" s="478">
        <f t="shared" si="5"/>
        <v>10.739239446011283</v>
      </c>
      <c r="F24" s="478">
        <f t="shared" si="6"/>
        <v>1790.3083798276025</v>
      </c>
      <c r="G24" s="478">
        <f t="shared" si="7"/>
        <v>0</v>
      </c>
      <c r="H24" s="478">
        <f t="shared" si="8"/>
        <v>0</v>
      </c>
      <c r="I24" s="478">
        <f t="shared" si="9"/>
        <v>0</v>
      </c>
      <c r="J24" s="478">
        <f t="shared" si="10"/>
        <v>82.548698018643947</v>
      </c>
      <c r="K24" s="478">
        <f t="shared" si="11"/>
        <v>0</v>
      </c>
      <c r="L24" s="478">
        <f t="shared" si="12"/>
        <v>0</v>
      </c>
      <c r="M24" s="478">
        <f t="shared" si="13"/>
        <v>0</v>
      </c>
      <c r="N24" s="478">
        <f t="shared" si="14"/>
        <v>0</v>
      </c>
      <c r="O24" s="478">
        <f t="shared" si="15"/>
        <v>0</v>
      </c>
      <c r="P24" s="479">
        <f t="shared" si="16"/>
        <v>0</v>
      </c>
      <c r="Q24" s="477">
        <f t="shared" ca="1" si="17"/>
        <v>8813.1107549439694</v>
      </c>
    </row>
    <row r="25" spans="1:17">
      <c r="A25" s="477" t="s">
        <v>635</v>
      </c>
      <c r="B25" s="478">
        <f t="shared" ca="1" si="2"/>
        <v>50552.449405738887</v>
      </c>
      <c r="C25" s="478">
        <f t="shared" ca="1" si="3"/>
        <v>0</v>
      </c>
      <c r="D25" s="478">
        <f t="shared" si="4"/>
        <v>82382.542228344697</v>
      </c>
      <c r="E25" s="478">
        <f t="shared" si="5"/>
        <v>848.11785341020993</v>
      </c>
      <c r="F25" s="478">
        <f t="shared" si="6"/>
        <v>10089.595533319516</v>
      </c>
      <c r="G25" s="478">
        <f t="shared" si="7"/>
        <v>0</v>
      </c>
      <c r="H25" s="478">
        <f t="shared" si="8"/>
        <v>0</v>
      </c>
      <c r="I25" s="478">
        <f t="shared" si="9"/>
        <v>0</v>
      </c>
      <c r="J25" s="478">
        <f t="shared" si="10"/>
        <v>9409.5981953605024</v>
      </c>
      <c r="K25" s="478">
        <f t="shared" si="11"/>
        <v>0</v>
      </c>
      <c r="L25" s="478">
        <f t="shared" si="12"/>
        <v>0</v>
      </c>
      <c r="M25" s="478">
        <f t="shared" si="13"/>
        <v>0</v>
      </c>
      <c r="N25" s="478">
        <f t="shared" si="14"/>
        <v>0</v>
      </c>
      <c r="O25" s="478">
        <f t="shared" si="15"/>
        <v>0</v>
      </c>
      <c r="P25" s="479">
        <f t="shared" si="16"/>
        <v>0</v>
      </c>
      <c r="Q25" s="477">
        <f t="shared" ca="1" si="17"/>
        <v>153282.30321617384</v>
      </c>
    </row>
    <row r="26" spans="1:17" s="483" customFormat="1">
      <c r="A26" s="481" t="s">
        <v>561</v>
      </c>
      <c r="B26" s="835">
        <f t="shared" ca="1" si="2"/>
        <v>5.7381792835942838</v>
      </c>
      <c r="C26" s="482">
        <f t="shared" ca="1" si="3"/>
        <v>0</v>
      </c>
      <c r="D26" s="482">
        <f t="shared" si="4"/>
        <v>17.928789990855474</v>
      </c>
      <c r="E26" s="482">
        <f t="shared" si="5"/>
        <v>27.071738555302563</v>
      </c>
      <c r="F26" s="482">
        <f t="shared" si="6"/>
        <v>0</v>
      </c>
      <c r="G26" s="482">
        <f t="shared" si="7"/>
        <v>11653.702781770386</v>
      </c>
      <c r="H26" s="482">
        <f t="shared" si="8"/>
        <v>2498.428859125891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14202.870348726028</v>
      </c>
    </row>
    <row r="27" spans="1:17">
      <c r="A27" s="477" t="s">
        <v>551</v>
      </c>
      <c r="B27" s="478">
        <f t="shared" ca="1" si="2"/>
        <v>0</v>
      </c>
      <c r="C27" s="478">
        <f t="shared" ca="1" si="3"/>
        <v>0</v>
      </c>
      <c r="D27" s="478">
        <f t="shared" si="4"/>
        <v>0</v>
      </c>
      <c r="E27" s="478">
        <f t="shared" si="5"/>
        <v>0</v>
      </c>
      <c r="F27" s="478">
        <f t="shared" si="6"/>
        <v>0</v>
      </c>
      <c r="G27" s="478">
        <f t="shared" si="7"/>
        <v>673.48457289521582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673.48457289521582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60881.175449488263</v>
      </c>
      <c r="C31" s="488">
        <f t="shared" ca="1" si="18"/>
        <v>6689.9344537815132</v>
      </c>
      <c r="D31" s="488">
        <f t="shared" ca="1" si="18"/>
        <v>103433.2613940814</v>
      </c>
      <c r="E31" s="488">
        <f t="shared" si="18"/>
        <v>1494.9679210299405</v>
      </c>
      <c r="F31" s="488">
        <f t="shared" ca="1" si="18"/>
        <v>12536.929172597445</v>
      </c>
      <c r="G31" s="488">
        <f t="shared" si="18"/>
        <v>12327.187354665601</v>
      </c>
      <c r="H31" s="488">
        <f t="shared" si="18"/>
        <v>2498.428859125891</v>
      </c>
      <c r="I31" s="488">
        <f t="shared" si="18"/>
        <v>0</v>
      </c>
      <c r="J31" s="488">
        <f t="shared" si="18"/>
        <v>9492.1578932053671</v>
      </c>
      <c r="K31" s="488">
        <f t="shared" si="18"/>
        <v>0</v>
      </c>
      <c r="L31" s="488">
        <f t="shared" ca="1" si="18"/>
        <v>0</v>
      </c>
      <c r="M31" s="488">
        <f t="shared" si="18"/>
        <v>0</v>
      </c>
      <c r="N31" s="488">
        <f t="shared" ca="1" si="18"/>
        <v>0</v>
      </c>
      <c r="O31" s="488">
        <f t="shared" si="18"/>
        <v>0</v>
      </c>
      <c r="P31" s="489">
        <f t="shared" si="18"/>
        <v>0</v>
      </c>
      <c r="Q31" s="489">
        <f t="shared" ca="1" si="18"/>
        <v>209354.04249797543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0.21485284804313479</v>
      </c>
      <c r="C17" s="528">
        <f ca="1">'EF ele_warmte'!B22</f>
        <v>0.23607823565441696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0.21485284804313479</v>
      </c>
      <c r="C17" s="528">
        <f ca="1">'EF ele_warmte'!B22</f>
        <v>0.23607823565441696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0.21485284804313479</v>
      </c>
      <c r="C29" s="529">
        <f ca="1">'EF ele_warmte'!B22</f>
        <v>0.23607823565441696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2018-09-06T12:46:15Z</dcterms:modified>
</cp:coreProperties>
</file>