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B35" i="13"/>
  <c r="J15" i="14"/>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P31"/>
  <c r="E12" i="17"/>
  <c r="F48" i="14" s="1"/>
  <c r="J16" i="15"/>
  <c r="K10" i="14" s="1"/>
  <c r="E16" i="15"/>
  <c r="F10" i="14" s="1"/>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D31"/>
  <c r="J20" i="15"/>
  <c r="K36"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4" i="48"/>
  <c r="N22"/>
  <c r="R11" i="14"/>
  <c r="J21" i="48"/>
  <c r="R10" i="14"/>
  <c r="Q5" i="48" l="1"/>
  <c r="O13" i="14"/>
  <c r="O15" s="1"/>
  <c r="F22" i="16"/>
  <c r="G39" i="14" s="1"/>
  <c r="G41" s="1"/>
  <c r="G53" s="1"/>
  <c r="G55" s="1"/>
  <c r="O69" s="1"/>
  <c r="B9" i="6" s="1"/>
  <c r="B12" s="1"/>
  <c r="F8" i="48"/>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M53" i="14"/>
  <c r="M55" s="1"/>
  <c r="C12" i="13"/>
  <c r="D37" i="14" s="1"/>
  <c r="D41" s="1"/>
  <c r="C23" i="48"/>
  <c r="C24"/>
  <c r="C27"/>
  <c r="C28"/>
  <c r="C22"/>
  <c r="C25"/>
  <c r="C29"/>
  <c r="C21"/>
  <c r="C26"/>
  <c r="R13" i="14"/>
  <c r="R15" s="1"/>
  <c r="F25" i="48"/>
  <c r="F31" s="1"/>
  <c r="F14"/>
  <c r="Q8" l="1"/>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<sst xmlns="http://schemas.openxmlformats.org/spreadsheetml/2006/main" count="1914" uniqueCount="809">
  <si>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</si>
  <si>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</si>
  <si>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</si>
  <si>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</si>
  <si>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</si>
  <si>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</si>
  <si>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</si>
  <si>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</si>
  <si>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</si>
  <si>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</si>
  <si>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</si>
  <si>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</si>
  <si>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</si>
  <si>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</si>
  <si>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</si>
  <si>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</si>
  <si>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</si>
  <si>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</si>
  <si>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</si>
  <si>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</si>
  <si>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</si>
  <si>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</si>
  <si>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</si>
  <si>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</si>
  <si>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</si>
  <si>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</si>
  <si>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</si>
  <si>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</si>
  <si>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</si>
  <si>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</si>
  <si>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</si>
  <si>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</si>
  <si>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</si>
  <si>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</si>
  <si>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</si>
  <si>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</si>
  <si>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</si>
  <si>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</si>
  <si>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</si>
  <si>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</si>
  <si>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</si>
  <si>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</si>
  <si>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</si>
  <si>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</si>
  <si>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</si>
  <si>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</si>
  <si>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</si>
  <si>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</si>
  <si>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</si>
  <si>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</si>
  <si>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</si>
  <si>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</si>
  <si>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</si>
  <si>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</si>
  <si>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</si>
  <si>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</si>
  <si>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</si>
  <si>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</si>
  <si>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</si>
  <si>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</si>
  <si>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</si>
  <si>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</si>
  <si>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</si>
  <si>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</si>
  <si>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</si>
  <si>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</si>
  <si>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</si>
  <si>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</si>
  <si>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</si>
  <si>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</si>
  <si>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</si>
  <si>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</si>
  <si>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</si>
  <si>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</si>
  <si>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</si>
  <si>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</si>
  <si>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</si>
  <si>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</si>
  <si>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</si>
  <si>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</si>
  <si>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</si>
  <si>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</si>
  <si>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</si>
  <si>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</si>
  <si>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</si>
  <si>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</si>
  <si>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</si>
  <si>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</si>
  <si>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</si>
  <si>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</si>
  <si>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</si>
  <si>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</si>
  <si>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</si>
  <si>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</si>
  <si>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</si>
  <si>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</si>
  <si>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</si>
  <si>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</si>
  <si>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</si>
  <si>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</si>
  <si>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</si>
  <si>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</si>
  <si>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</si>
  <si>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</si>
  <si>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</si>
  <si>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</si>
  <si>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</si>
  <si>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</si>
  <si>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</si>
  <si>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</si>
  <si>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</si>
  <si>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</si>
  <si>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</si>
  <si>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</si>
  <si>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</si>
  <si>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</si>
  <si>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</si>
  <si>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</si>
  <si>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</si>
  <si>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</si>
  <si>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</si>
  <si>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</si>
  <si>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</si>
  <si>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</si>
  <si>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</si>
  <si>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</si>
  <si>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</si>
  <si>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</si>
  <si>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</si>
  <si>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</si>
  <si>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</si>
  <si>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</si>
  <si>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</si>
  <si>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</si>
  <si>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</si>
  <si>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</si>
  <si>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</si>
  <si>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</si>
  <si>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</si>
  <si>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</si>
  <si>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</si>
  <si>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</si>
  <si>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</si>
  <si>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</si>
  <si>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</si>
  <si>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</si>
  <si>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</si>
  <si>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</si>
  <si>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</si>
  <si>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</si>
  <si>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</si>
  <si>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</si>
  <si>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</si>
  <si>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</si>
  <si>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</si>
  <si>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</si>
  <si>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</si>
  <si>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</si>
  <si>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</si>
  <si>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</si>
  <si>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</si>
  <si>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</si>
  <si>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</si>
  <si>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</si>
  <si>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</si>
  <si>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</si>
  <si>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</si>
  <si>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</si>
  <si>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</si>
  <si>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</si>
  <si>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</si>
  <si>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</si>
  <si>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</si>
  <si>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</si>
  <si>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</si>
  <si>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</si>
  <si>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</si>
  <si>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</si>
  <si>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</si>
  <si>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</si>
  <si>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</si>
  <si>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</si>
  <si>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</si>
  <si>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</si>
  <si>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</si>
  <si>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</si>
  <si>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</si>
  <si>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</si>
  <si>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</si>
  <si>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</si>
  <si>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</si>
  <si>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</si>
  <si>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</si>
  <si>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</si>
  <si>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</si>
  <si>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</si>
  <si>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</si>
  <si>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</si>
  <si>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</si>
  <si>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</si>
  <si>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</si>
  <si>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</si>
  <si>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</si>
  <si>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</si>
  <si>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</si>
  <si>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</si>
  <si>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</si>
  <si>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</si>
  <si>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</si>
  <si>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</si>
  <si>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</si>
  <si>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</si>
  <si>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</si>
  <si>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</si>
  <si>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</si>
  <si>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</si>
  <si>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</si>
  <si>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</si>
  <si>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</si>
  <si>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</si>
  <si>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</si>
  <si>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</si>
  <si>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</si>
  <si>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</si>
  <si>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</si>
  <si>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</si>
  <si>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</si>
  <si>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</si>
  <si>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</si>
  <si>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</si>
  <si>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</si>
  <si>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</si>
  <si>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</si>
  <si>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</si>
  <si>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</si>
  <si>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</si>
  <si>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</si>
  <si>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</si>
  <si>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</si>
  <si>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</si>
  <si>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</si>
  <si>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</si>
  <si>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</si>
  <si>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</si>
  <si>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</si>
  <si>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</si>
  <si>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</si>
  <si>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</si>
  <si>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</si>
  <si>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</si>
  <si>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</si>
  <si>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</si>
  <si>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</si>
  <si>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</si>
  <si>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</si>
  <si>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</si>
  <si>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</si>
  <si>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</si>
  <si>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</si>
  <si>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</si>
  <si>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</si>
  <si>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</si>
  <si>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</si>
  <si>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</si>
  <si>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</si>
  <si>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</si>
  <si>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</si>
  <si>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</si>
  <si>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</si>
  <si>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</si>
  <si>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</si>
  <si>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</si>
  <si>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</si>
  <si>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</si>
  <si>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</si>
  <si>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</si>
  <si>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</si>
  <si>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</si>
  <si>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</si>
  <si>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</si>
  <si>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</si>
  <si>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</si>
  <si>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</si>
  <si>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</si>
  <si>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</si>
  <si>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</si>
  <si>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</si>
  <si>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</si>
  <si>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</si>
  <si>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</si>
  <si>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</si>
  <si>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</si>
  <si>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</si>
  <si>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</si>
  <si>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</si>
  <si>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</si>
  <si>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</si>
  <si>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</si>
  <si>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</si>
  <si>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</si>
  <si>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</si>
  <si>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</si>
  <si>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</si>
  <si>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</si>
  <si>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</si>
  <si>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</si>
  <si>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</si>
  <si>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</si>
  <si>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</si>
  <si>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</si>
  <si>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</si>
  <si>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</si>
  <si>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</si>
  <si>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</si>
  <si>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</si>
  <si>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</si>
  <si>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</si>
  <si>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</si>
  <si>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</si>
  <si>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</si>
  <si>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</si>
  <si>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</si>
  <si>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</si>
  <si>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</si>
  <si>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</si>
  <si>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</si>
  <si>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</si>
  <si>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</si>
  <si>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</si>
  <si>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</si>
  <si>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</si>
  <si>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</si>
  <si>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</si>
  <si>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</si>
  <si>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</si>
  <si>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</si>
  <si>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</si>
  <si>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</si>
  <si>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</si>
  <si>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</si>
  <si>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</si>
  <si>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</si>
  <si>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</si>
  <si>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</si>
  <si>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</si>
  <si>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</si>
  <si>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</si>
  <si>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</si>
  <si>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</si>
  <si>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</si>
  <si>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</si>
  <si>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</si>
  <si>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</si>
  <si>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</si>
  <si>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</si>
  <si>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</si>
  <si>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</si>
  <si>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</si>
  <si>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</si>
  <si>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</si>
  <si>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</si>
  <si>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</si>
  <si>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</si>
  <si>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</si>
  <si>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</si>
  <si>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</si>
  <si>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</si>
  <si>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</si>
  <si>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</si>
  <si>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</si>
  <si>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</si>
  <si>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</si>
  <si>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</si>
  <si>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</si>
  <si>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</si>
  <si>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</si>
  <si>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</si>
  <si>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</si>
  <si>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</si>
  <si>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</si>
  <si>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</si>
  <si>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</si>
  <si>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</si>
  <si>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</si>
  <si>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</si>
  <si>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</si>
  <si>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</si>
  <si>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</si>
  <si>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</si>
  <si>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</si>
  <si>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</si>
  <si>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</si>
  <si>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</si>
  <si>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</si>
  <si>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</si>
  <si>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</si>
  <si>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</si>
  <si>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</si>
  <si>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</si>
  <si>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</si>
  <si>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</si>
  <si>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</si>
  <si>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</si>
  <si>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</si>
  <si>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</si>
  <si>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</si>
  <si>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</si>
  <si>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</si>
  <si>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</si>
  <si>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</si>
  <si>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</si>
  <si>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</si>
  <si>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</si>
  <si>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</si>
  <si>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</si>
  <si>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</si>
  <si>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</si>
  <si>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</si>
  <si>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</si>
  <si>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</si>
  <si>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</si>
  <si>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</si>
  <si>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</si>
  <si>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</si>
  <si>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</si>
  <si>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</si>
  <si>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</si>
  <si>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</si>
  <si>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</si>
  <si>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</si>
  <si>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</si>
  <si>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</si>
  <si>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</si>
  <si>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</si>
  <si>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</si>
  <si>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</si>
  <si>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</si>
  <si>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</si>
  <si>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</si>
  <si>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</si>
  <si>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</si>
  <si>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</si>
  <si>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</si>
  <si>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</si>
  <si>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</si>
  <si>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</si>
  <si>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</si>
  <si>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</si>
  <si>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</si>
  <si>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</si>
  <si>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</si>
  <si>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</si>
  <si>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</si>
  <si>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</si>
  <si>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</si>
  <si>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</si>
  <si>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</si>
  <si>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</si>
  <si>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</si>
  <si>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</si>
  <si>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</si>
  <si>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</si>
  <si>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</si>
  <si>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</si>
  <si>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</si>
  <si>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</si>
  <si>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</si>
  <si>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</si>
  <si>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</si>
  <si>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</si>
  <si>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</si>
  <si>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</si>
  <si>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</si>
  <si>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</si>
  <si>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</si>
  <si>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</si>
  <si>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</si>
  <si>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</si>
  <si>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</si>
  <si>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</si>
  <si>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</si>
  <si>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</si>
  <si>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</si>
  <si>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</si>
  <si>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</si>
  <si>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</si>
  <si>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</si>
  <si>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</si>
  <si>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</si>
  <si>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</si>
  <si>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</si>
  <si>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</si>
  <si>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</si>
  <si>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</si>
  <si>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</si>
  <si>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</si>
  <si>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</si>
  <si>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</si>
  <si>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</si>
  <si>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</si>
  <si>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</si>
  <si>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</si>
  <si>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</si>
  <si>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</si>
  <si>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</si>
  <si>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</si>
  <si>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</si>
  <si>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</si>
  <si>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</si>
  <si>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</si>
  <si>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</si>
  <si>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</si>
  <si>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</si>
  <si>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</si>
  <si>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</si>
  <si>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</si>
  <si>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</si>
  <si>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</si>
  <si>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</si>
  <si>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</si>
  <si>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</si>
  <si>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</si>
  <si>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</si>
  <si>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</si>
  <si>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</si>
  <si>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</si>
  <si>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</si>
  <si>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</si>
  <si>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</si>
  <si>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</si>
  <si>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</si>
  <si>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</si>
  <si>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</si>
  <si>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</si>
  <si>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</si>
  <si>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</si>
  <si>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</si>
  <si>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</si>
  <si>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</si>
  <si>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</si>
  <si>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</si>
  <si>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</si>
  <si>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</si>
  <si>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</si>
  <si>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</si>
  <si>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</si>
  <si>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</si>
  <si>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</si>
  <si>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</si>
  <si>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</si>
  <si>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</si>
  <si>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</si>
  <si>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</si>
  <si>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</si>
  <si>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</si>
  <si>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</si>
  <si>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</si>
  <si>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</si>
  <si>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</si>
  <si>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</si>
  <si>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</si>
  <si>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</si>
  <si>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</si>
  <si>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</si>
  <si>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</si>
  <si>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</si>
  <si>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</si>
  <si>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</si>
  <si>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</si>
  <si>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</si>
  <si>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</si>
  <si>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</si>
  <si>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</si>
  <si>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</si>
  <si>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</si>
  <si>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</si>
  <si>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</si>
  <si>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</si>
  <si>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</si>
  <si>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</si>
  <si>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</si>
  <si>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</si>
  <si>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</si>
  <si>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</si>
  <si>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</si>
  <si>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</si>
  <si>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</si>
  <si>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</si>
  <si>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</si>
  <si>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</si>
  <si>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</si>
  <si>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</si>
  <si>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</si>
  <si>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</si>
  <si>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</si>
  <si>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</si>
  <si>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</si>
  <si>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</si>
  <si>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</si>
  <si>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</si>
  <si>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</si>
  <si>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</si>
  <si>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</si>
  <si>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</si>
  <si>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</si>
  <si>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</si>
  <si>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</si>
  <si>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</si>
  <si>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</si>
  <si>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</si>
  <si>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</si>
  <si>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</si>
  <si>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</si>
  <si>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</si>
  <si>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</si>
  <si>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</si>
  <si>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</si>
  <si>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</si>
  <si>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</si>
  <si>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</si>
  <si>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</si>
  <si>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</si>
  <si>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</si>
  <si>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</si>
  <si>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</si>
  <si>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</si>
  <si>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</si>
  <si>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</si>
  <si>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</si>
  <si>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</si>
  <si>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</si>
  <si>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</si>
  <si>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</si>
  <si>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</si>
  <si>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</si>
  <si>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</si>
  <si>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</si>
  <si>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</si>
  <si>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</si>
  <si>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</si>
  <si>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</si>
  <si>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</si>
  <si>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</si>
  <si>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</si>
  <si>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</si>
  <si>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</si>
  <si>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</si>
  <si>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</si>
  <si>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</si>
  <si>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</si>
  <si>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</si>
  <si>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</si>
  <si>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</si>
  <si>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</si>
  <si>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</si>
  <si>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</si>
  <si>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</si>
  <si>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</si>
  <si>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</si>
  <si>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</si>
  <si>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</si>
  <si>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</si>
  <si>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</si>
  <si>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</si>
  <si>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</si>
  <si>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</si>
  <si>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</si>
  <si>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</si>
  <si>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</si>
  <si>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</si>
  <si>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</si>
  <si>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</si>
  <si>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</si>
  <si>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</si>
  <si>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</si>
  <si>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</si>
  <si>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</si>
  <si>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</si>
  <si>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</si>
  <si>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</si>
  <si>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</si>
  <si>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</si>
  <si>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</si>
  <si>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</si>
  <si>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</si>
  <si>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</si>
  <si>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</si>
  <si>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</si>
  <si>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</si>
  <si>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</si>
  <si>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</si>
  <si>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</si>
  <si>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</si>
  <si>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</si>
  <si>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</si>
  <si>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</si>
  <si>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</si>
  <si>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</si>
  <si>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</si>
  <si>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</si>
  <si>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</si>
  <si>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</si>
  <si>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</si>
  <si>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</si>
  <si>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</si>
  <si>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</si>
  <si>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</si>
  <si>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</si>
  <si>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</si>
  <si>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</si>
  <si>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</si>
  <si>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</si>
  <si>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</si>
  <si>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</si>
  <si>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</si>
  <si>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</si>
  <si>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</si>
  <si>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</si>
  <si>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</si>
  <si>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</si>
  <si>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</si>
  <si>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</si>
  <si>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</si>
  <si>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</si>
  <si>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</si>
  <si>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</si>
  <si>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</si>
  <si>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</si>
  <si>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</si>
  <si>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</si>
  <si>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</si>
  <si>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</si>
  <si>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</si>
  <si>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</si>
  <si>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</si>
  <si>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</si>
  <si>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</si>
  <si>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</si>
  <si>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</si>
  <si>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</si>
  <si>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</si>
  <si>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</si>
  <si>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</si>
  <si>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</si>
  <si>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</si>
  <si>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</si>
  <si>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</si>
  <si>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</si>
  <si>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</si>
  <si>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</si>
  <si>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</si>
  <si>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</si>
  <si>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</si>
  <si>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</si>
  <si>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</si>
  <si>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</si>
  <si>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</si>
  <si>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</si>
  <si>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</si>
  <si>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</si>
  <si>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</si>
  <si>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</si>
  <si>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</si>
  <si>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</si>
  <si>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</si>
  <si>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</si>
  <si>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</si>
  <si>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</si>
  <si>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</si>
  <si>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</si>
  <si>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</si>
  <si>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</si>
  <si>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</si>
  <si>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</si>
  <si>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</si>
  <si>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</si>
  <si>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</si>
  <si>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</si>
  <si>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</si>
  <si>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</si>
  <si>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</si>
  <si>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</si>
  <si>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</si>
  <si>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</si>
  <si>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</si>
  <si>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</si>
  <si>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</si>
  <si>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</si>
  <si>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</si>
  <si>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</si>
  <si>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</si>
  <si>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</si>
  <si>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</si>
  <si>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</si>
  <si>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</si>
  <si>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</si>
  <si>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</si>
  <si>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</si>
  <si>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</si>
  <si>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</si>
  <si>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</si>
  <si>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12026</t>
  </si>
  <si>
    <t>NIJLEN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</si>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</sst>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185091.62093049652</c:v>
                </c:pt>
                <c:pt idx="1">
                  <c:v>35114.425860283925</c:v>
                </c:pt>
                <c:pt idx="2">
                  <c:v>929.32</c:v>
                </c:pt>
                <c:pt idx="3">
                  <c:v>4996.177389718734</c:v>
                </c:pt>
                <c:pt idx="4">
                  <c:v>30082.693907416251</c:v>
                </c:pt>
                <c:pt idx="5">
                  <c:v>71052.698010542401</c:v>
                </c:pt>
                <c:pt idx="6">
                  <c:v>1016.7929568596007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00736"/>
        <c:axId val="182551680"/>
      </c:barChart>
      <c:catAx>
        <c:axId val="182500736"/>
        <c:scaling>
          <c:orientation val="minMax"/>
        </c:scaling>
        <c:axPos val="b"/>
        <c:numFmt formatCode="General" sourceLinked="0"/>
        <c:tickLblPos val="nextTo"/>
        <c:crossAx val="182551680"/>
        <c:crosses val="autoZero"/>
        <c:auto val="1"/>
        <c:lblAlgn val="ctr"/>
        <c:lblOffset val="100"/>
      </c:catAx>
      <c:valAx>
        <c:axId val="182551680"/>
        <c:scaling>
          <c:orientation val="minMax"/>
        </c:scaling>
        <c:axPos val="l"/>
        <c:majorGridlines/>
        <c:numFmt formatCode="#,##0" sourceLinked="1"/>
        <c:tickLblPos val="nextTo"/>
        <c:crossAx val="1825007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185091.62093049652</c:v>
                </c:pt>
                <c:pt idx="1">
                  <c:v>35114.425860283925</c:v>
                </c:pt>
                <c:pt idx="2">
                  <c:v>929.32</c:v>
                </c:pt>
                <c:pt idx="3">
                  <c:v>4996.177389718734</c:v>
                </c:pt>
                <c:pt idx="4">
                  <c:v>30082.693907416251</c:v>
                </c:pt>
                <c:pt idx="5">
                  <c:v>71052.698010542401</c:v>
                </c:pt>
                <c:pt idx="6">
                  <c:v>1016.7929568596007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33297.294474636787</c:v>
                </c:pt>
                <c:pt idx="1">
                  <c:v>6715.4511299708956</c:v>
                </c:pt>
                <c:pt idx="2">
                  <c:v>185.98355893250033</c:v>
                </c:pt>
                <c:pt idx="3">
                  <c:v>1265.6129162054594</c:v>
                </c:pt>
                <c:pt idx="4">
                  <c:v>5850.0521948617834</c:v>
                </c:pt>
                <c:pt idx="5">
                  <c:v>17778.833142085539</c:v>
                </c:pt>
                <c:pt idx="6">
                  <c:v>256.89331335793707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07488"/>
        <c:axId val="183099392"/>
      </c:barChart>
      <c:catAx>
        <c:axId val="183007488"/>
        <c:scaling>
          <c:orientation val="minMax"/>
        </c:scaling>
        <c:axPos val="b"/>
        <c:numFmt formatCode="General" sourceLinked="0"/>
        <c:tickLblPos val="nextTo"/>
        <c:crossAx val="183099392"/>
        <c:crosses val="autoZero"/>
        <c:auto val="1"/>
        <c:lblAlgn val="ctr"/>
        <c:lblOffset val="100"/>
      </c:catAx>
      <c:valAx>
        <c:axId val="183099392"/>
        <c:scaling>
          <c:orientation val="minMax"/>
        </c:scaling>
        <c:axPos val="l"/>
        <c:majorGridlines/>
        <c:numFmt formatCode="#,##0" sourceLinked="1"/>
        <c:tickLblPos val="nextTo"/>
        <c:crossAx val="1830074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33297.294474636787</c:v>
                </c:pt>
                <c:pt idx="1">
                  <c:v>6715.4511299708956</c:v>
                </c:pt>
                <c:pt idx="2">
                  <c:v>185.98355893250033</c:v>
                </c:pt>
                <c:pt idx="3">
                  <c:v>1265.6129162054594</c:v>
                </c:pt>
                <c:pt idx="4">
                  <c:v>5850.0521948617834</c:v>
                </c:pt>
                <c:pt idx="5">
                  <c:v>17778.833142085539</c:v>
                </c:pt>
                <c:pt idx="6">
                  <c:v>256.89331335793707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12026</v>
      </c>
      <c r="B6" s="415"/>
      <c r="C6" s="416"/>
    </row>
    <row r="7" spans="1:7" s="413" customFormat="1" ht="15.75" customHeight="1">
      <c r="A7" s="417" t="str">
        <f>txtMunicipality</f>
        <v>NIJLEN</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13992.4998</v>
      </c>
      <c r="D10" s="718">
        <f ca="1">tertiair!C16</f>
        <v>0</v>
      </c>
      <c r="E10" s="718">
        <f ca="1">tertiair!D16</f>
        <v>16931.4331604</v>
      </c>
      <c r="F10" s="718">
        <f>tertiair!E16</f>
        <v>161.99407430959681</v>
      </c>
      <c r="G10" s="718">
        <f ca="1">tertiair!F16</f>
        <v>2412.6966893269282</v>
      </c>
      <c r="H10" s="718">
        <f>tertiair!G16</f>
        <v>0</v>
      </c>
      <c r="I10" s="718">
        <f>tertiair!H16</f>
        <v>0</v>
      </c>
      <c r="J10" s="718">
        <f>tertiair!I16</f>
        <v>0</v>
      </c>
      <c r="K10" s="718">
        <f>tertiair!J16</f>
        <v>6.3264572557280491E-2</v>
      </c>
      <c r="L10" s="718">
        <f>tertiair!K16</f>
        <v>0</v>
      </c>
      <c r="M10" s="718">
        <f ca="1">tertiair!L16</f>
        <v>0</v>
      </c>
      <c r="N10" s="718">
        <f>tertiair!M16</f>
        <v>0</v>
      </c>
      <c r="O10" s="718">
        <f ca="1">tertiair!N16</f>
        <v>2503.7988716748478</v>
      </c>
      <c r="P10" s="718">
        <f>tertiair!O16</f>
        <v>3.1266666666666669</v>
      </c>
      <c r="Q10" s="719">
        <f>tertiair!P16</f>
        <v>38.133333333333333</v>
      </c>
      <c r="R10" s="721">
        <f ca="1">SUM(C10:Q10)</f>
        <v>36043.745860283932</v>
      </c>
      <c r="S10" s="67"/>
    </row>
    <row r="11" spans="1:19" s="474" customFormat="1">
      <c r="A11" s="870" t="s">
        <v>225</v>
      </c>
      <c r="B11" s="875"/>
      <c r="C11" s="718">
        <f>huishoudens!B8</f>
        <v>35691.614878888402</v>
      </c>
      <c r="D11" s="718">
        <f>huishoudens!C8</f>
        <v>0</v>
      </c>
      <c r="E11" s="718">
        <f>huishoudens!D8</f>
        <v>119131.92871800001</v>
      </c>
      <c r="F11" s="718">
        <f>huishoudens!E8</f>
        <v>6214.5410811902339</v>
      </c>
      <c r="G11" s="718">
        <f>huishoudens!F8</f>
        <v>0</v>
      </c>
      <c r="H11" s="718">
        <f>huishoudens!G8</f>
        <v>0</v>
      </c>
      <c r="I11" s="718">
        <f>huishoudens!H8</f>
        <v>0</v>
      </c>
      <c r="J11" s="718">
        <f>huishoudens!I8</f>
        <v>0</v>
      </c>
      <c r="K11" s="718">
        <f>huishoudens!J8</f>
        <v>1918.1617870343025</v>
      </c>
      <c r="L11" s="718">
        <f>huishoudens!K8</f>
        <v>0</v>
      </c>
      <c r="M11" s="718">
        <f>huishoudens!L8</f>
        <v>0</v>
      </c>
      <c r="N11" s="718">
        <f>huishoudens!M8</f>
        <v>0</v>
      </c>
      <c r="O11" s="718">
        <f>huishoudens!N8</f>
        <v>20224.817798716904</v>
      </c>
      <c r="P11" s="718">
        <f>huishoudens!O8</f>
        <v>442.4233333333334</v>
      </c>
      <c r="Q11" s="719">
        <f>huishoudens!P8</f>
        <v>1468.1333333333332</v>
      </c>
      <c r="R11" s="721">
        <f>SUM(C11:Q11)</f>
        <v>185091.62093049652</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6966.3705499999996</v>
      </c>
      <c r="D13" s="718">
        <f>industrie!C18</f>
        <v>0</v>
      </c>
      <c r="E13" s="718">
        <f>industrie!D18</f>
        <v>14588.8999234</v>
      </c>
      <c r="F13" s="718">
        <f>industrie!E18</f>
        <v>1545.7536184809057</v>
      </c>
      <c r="G13" s="718">
        <f>industrie!F18</f>
        <v>4337.1640167325877</v>
      </c>
      <c r="H13" s="718">
        <f>industrie!G18</f>
        <v>0</v>
      </c>
      <c r="I13" s="718">
        <f>industrie!H18</f>
        <v>0</v>
      </c>
      <c r="J13" s="718">
        <f>industrie!I18</f>
        <v>0</v>
      </c>
      <c r="K13" s="718">
        <f>industrie!J18</f>
        <v>4.2933755586396456E-2</v>
      </c>
      <c r="L13" s="718">
        <f>industrie!K18</f>
        <v>0</v>
      </c>
      <c r="M13" s="718">
        <f>industrie!L18</f>
        <v>0</v>
      </c>
      <c r="N13" s="718">
        <f>industrie!M18</f>
        <v>0</v>
      </c>
      <c r="O13" s="718">
        <f>industrie!N18</f>
        <v>2644.4628650471686</v>
      </c>
      <c r="P13" s="718">
        <f>industrie!O18</f>
        <v>0</v>
      </c>
      <c r="Q13" s="719">
        <f>industrie!P18</f>
        <v>0</v>
      </c>
      <c r="R13" s="721">
        <f>SUM(C13:Q13)</f>
        <v>30082.693907416251</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56650.485228888399</v>
      </c>
      <c r="D15" s="723">
        <f t="shared" ref="D15:Q15" ca="1" si="0">SUM(D9:D14)</f>
        <v>0</v>
      </c>
      <c r="E15" s="723">
        <f t="shared" ca="1" si="0"/>
        <v>150652.26180179999</v>
      </c>
      <c r="F15" s="723">
        <f t="shared" si="0"/>
        <v>7922.2887739807366</v>
      </c>
      <c r="G15" s="723">
        <f t="shared" ca="1" si="0"/>
        <v>6749.8607060595159</v>
      </c>
      <c r="H15" s="723">
        <f t="shared" si="0"/>
        <v>0</v>
      </c>
      <c r="I15" s="723">
        <f t="shared" si="0"/>
        <v>0</v>
      </c>
      <c r="J15" s="723">
        <f t="shared" si="0"/>
        <v>0</v>
      </c>
      <c r="K15" s="723">
        <f t="shared" si="0"/>
        <v>1918.2679853624461</v>
      </c>
      <c r="L15" s="723">
        <f t="shared" si="0"/>
        <v>0</v>
      </c>
      <c r="M15" s="723">
        <f t="shared" ca="1" si="0"/>
        <v>0</v>
      </c>
      <c r="N15" s="723">
        <f t="shared" si="0"/>
        <v>0</v>
      </c>
      <c r="O15" s="723">
        <f t="shared" ca="1" si="0"/>
        <v>25373.079535438919</v>
      </c>
      <c r="P15" s="723">
        <f t="shared" si="0"/>
        <v>445.55000000000007</v>
      </c>
      <c r="Q15" s="724">
        <f t="shared" si="0"/>
        <v>1506.2666666666667</v>
      </c>
      <c r="R15" s="725">
        <f ca="1">SUM(R9:R14)</f>
        <v>251218.0606981967</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962.14724104096285</v>
      </c>
      <c r="I18" s="718">
        <f>transport!H54</f>
        <v>0</v>
      </c>
      <c r="J18" s="718">
        <f>transport!I54</f>
        <v>0</v>
      </c>
      <c r="K18" s="718">
        <f>transport!J54</f>
        <v>0</v>
      </c>
      <c r="L18" s="718">
        <f>transport!K54</f>
        <v>0</v>
      </c>
      <c r="M18" s="718">
        <f>transport!L54</f>
        <v>0</v>
      </c>
      <c r="N18" s="718">
        <f>transport!M54</f>
        <v>54.645715818637917</v>
      </c>
      <c r="O18" s="718">
        <f>transport!N54</f>
        <v>0</v>
      </c>
      <c r="P18" s="718">
        <f>transport!O54</f>
        <v>0</v>
      </c>
      <c r="Q18" s="719">
        <f>transport!P54</f>
        <v>0</v>
      </c>
      <c r="R18" s="721">
        <f>SUM(C18:Q18)</f>
        <v>1016.7929568596007</v>
      </c>
      <c r="S18" s="67"/>
    </row>
    <row r="19" spans="1:19" s="474" customFormat="1" ht="15" thickBot="1">
      <c r="A19" s="870" t="s">
        <v>307</v>
      </c>
      <c r="B19" s="875"/>
      <c r="C19" s="727">
        <f>transport!B14</f>
        <v>33.301917403450446</v>
      </c>
      <c r="D19" s="727">
        <f>transport!C14</f>
        <v>0</v>
      </c>
      <c r="E19" s="727">
        <f>transport!D14</f>
        <v>110.25594808773378</v>
      </c>
      <c r="F19" s="727">
        <f>transport!E14</f>
        <v>148.23346854453467</v>
      </c>
      <c r="G19" s="727">
        <f>transport!F14</f>
        <v>0</v>
      </c>
      <c r="H19" s="727">
        <f>transport!G14</f>
        <v>54726.224927142546</v>
      </c>
      <c r="I19" s="727">
        <f>transport!H14</f>
        <v>12467.251886844075</v>
      </c>
      <c r="J19" s="727">
        <f>transport!I14</f>
        <v>0</v>
      </c>
      <c r="K19" s="727">
        <f>transport!J14</f>
        <v>0</v>
      </c>
      <c r="L19" s="727">
        <f>transport!K14</f>
        <v>0</v>
      </c>
      <c r="M19" s="727">
        <f>transport!L14</f>
        <v>0</v>
      </c>
      <c r="N19" s="727">
        <f>transport!M14</f>
        <v>3567.429862520054</v>
      </c>
      <c r="O19" s="727">
        <f>transport!N14</f>
        <v>0</v>
      </c>
      <c r="P19" s="727">
        <f>transport!O14</f>
        <v>0</v>
      </c>
      <c r="Q19" s="728">
        <f>transport!P14</f>
        <v>0</v>
      </c>
      <c r="R19" s="729">
        <f>SUM(C19:Q19)</f>
        <v>71052.698010542401</v>
      </c>
      <c r="S19" s="67"/>
    </row>
    <row r="20" spans="1:19" s="474" customFormat="1" ht="15.75" thickBot="1">
      <c r="A20" s="730" t="s">
        <v>230</v>
      </c>
      <c r="B20" s="878"/>
      <c r="C20" s="873">
        <f>SUM(C17:C19)</f>
        <v>33.301917403450446</v>
      </c>
      <c r="D20" s="731">
        <f t="shared" ref="D20:R20" si="1">SUM(D17:D19)</f>
        <v>0</v>
      </c>
      <c r="E20" s="731">
        <f t="shared" si="1"/>
        <v>110.25594808773378</v>
      </c>
      <c r="F20" s="731">
        <f t="shared" si="1"/>
        <v>148.23346854453467</v>
      </c>
      <c r="G20" s="731">
        <f t="shared" si="1"/>
        <v>0</v>
      </c>
      <c r="H20" s="731">
        <f t="shared" si="1"/>
        <v>55688.372168183509</v>
      </c>
      <c r="I20" s="731">
        <f t="shared" si="1"/>
        <v>12467.251886844075</v>
      </c>
      <c r="J20" s="731">
        <f t="shared" si="1"/>
        <v>0</v>
      </c>
      <c r="K20" s="731">
        <f t="shared" si="1"/>
        <v>0</v>
      </c>
      <c r="L20" s="731">
        <f t="shared" si="1"/>
        <v>0</v>
      </c>
      <c r="M20" s="731">
        <f t="shared" si="1"/>
        <v>0</v>
      </c>
      <c r="N20" s="731">
        <f t="shared" si="1"/>
        <v>3622.0755783386921</v>
      </c>
      <c r="O20" s="731">
        <f t="shared" si="1"/>
        <v>0</v>
      </c>
      <c r="P20" s="731">
        <f t="shared" si="1"/>
        <v>0</v>
      </c>
      <c r="Q20" s="732">
        <f t="shared" si="1"/>
        <v>0</v>
      </c>
      <c r="R20" s="733">
        <f t="shared" si="1"/>
        <v>72069.490967402002</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879.02</v>
      </c>
      <c r="D22" s="727">
        <f>+landbouw!C8</f>
        <v>0</v>
      </c>
      <c r="E22" s="727">
        <f>+landbouw!D8</f>
        <v>302.01936600000005</v>
      </c>
      <c r="F22" s="727">
        <f>+landbouw!E8</f>
        <v>25.83708263696791</v>
      </c>
      <c r="G22" s="727">
        <f>+landbouw!F8</f>
        <v>3661.9498202523514</v>
      </c>
      <c r="H22" s="727">
        <f>+landbouw!G8</f>
        <v>0</v>
      </c>
      <c r="I22" s="727">
        <f>+landbouw!H8</f>
        <v>0</v>
      </c>
      <c r="J22" s="727">
        <f>+landbouw!I8</f>
        <v>0</v>
      </c>
      <c r="K22" s="727">
        <f>+landbouw!J8</f>
        <v>127.35112082941515</v>
      </c>
      <c r="L22" s="727">
        <f>+landbouw!K8</f>
        <v>0</v>
      </c>
      <c r="M22" s="727">
        <f>+landbouw!L8</f>
        <v>0</v>
      </c>
      <c r="N22" s="727">
        <f>+landbouw!M8</f>
        <v>0</v>
      </c>
      <c r="O22" s="727">
        <f>+landbouw!N8</f>
        <v>0</v>
      </c>
      <c r="P22" s="727">
        <f>+landbouw!O8</f>
        <v>0</v>
      </c>
      <c r="Q22" s="728">
        <f>+landbouw!P8</f>
        <v>0</v>
      </c>
      <c r="R22" s="729">
        <f>SUM(C22:Q22)</f>
        <v>4996.177389718734</v>
      </c>
      <c r="S22" s="67"/>
    </row>
    <row r="23" spans="1:19" s="474" customFormat="1" ht="17.25" thickTop="1" thickBot="1">
      <c r="A23" s="734" t="s">
        <v>116</v>
      </c>
      <c r="B23" s="864"/>
      <c r="C23" s="735">
        <f ca="1">C20+C15+C22</f>
        <v>57562.807146291845</v>
      </c>
      <c r="D23" s="735">
        <f t="shared" ref="D23:Q23" ca="1" si="2">D20+D15+D22</f>
        <v>0</v>
      </c>
      <c r="E23" s="735">
        <f t="shared" ca="1" si="2"/>
        <v>151064.53711588771</v>
      </c>
      <c r="F23" s="735">
        <f t="shared" si="2"/>
        <v>8096.3593251622397</v>
      </c>
      <c r="G23" s="735">
        <f t="shared" ca="1" si="2"/>
        <v>10411.810526311867</v>
      </c>
      <c r="H23" s="735">
        <f t="shared" si="2"/>
        <v>55688.372168183509</v>
      </c>
      <c r="I23" s="735">
        <f t="shared" si="2"/>
        <v>12467.251886844075</v>
      </c>
      <c r="J23" s="735">
        <f t="shared" si="2"/>
        <v>0</v>
      </c>
      <c r="K23" s="735">
        <f t="shared" si="2"/>
        <v>2045.6191061918612</v>
      </c>
      <c r="L23" s="735">
        <f t="shared" si="2"/>
        <v>0</v>
      </c>
      <c r="M23" s="735">
        <f t="shared" ca="1" si="2"/>
        <v>0</v>
      </c>
      <c r="N23" s="735">
        <f t="shared" si="2"/>
        <v>3622.0755783386921</v>
      </c>
      <c r="O23" s="735">
        <f t="shared" ca="1" si="2"/>
        <v>25373.079535438919</v>
      </c>
      <c r="P23" s="735">
        <f t="shared" si="2"/>
        <v>445.55000000000007</v>
      </c>
      <c r="Q23" s="736">
        <f t="shared" si="2"/>
        <v>1506.2666666666667</v>
      </c>
      <c r="R23" s="737">
        <f ca="1">R20+R15+R22</f>
        <v>328283.72905531741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2800.3001239253417</v>
      </c>
      <c r="D36" s="718">
        <f ca="1">tertiair!C20</f>
        <v>0</v>
      </c>
      <c r="E36" s="718">
        <f ca="1">tertiair!D20</f>
        <v>3420.1494984008</v>
      </c>
      <c r="F36" s="718">
        <f>tertiair!E20</f>
        <v>36.77265486827848</v>
      </c>
      <c r="G36" s="718">
        <f ca="1">tertiair!F20</f>
        <v>644.19001605028984</v>
      </c>
      <c r="H36" s="718">
        <f>tertiair!G20</f>
        <v>0</v>
      </c>
      <c r="I36" s="718">
        <f>tertiair!H20</f>
        <v>0</v>
      </c>
      <c r="J36" s="718">
        <f>tertiair!I20</f>
        <v>0</v>
      </c>
      <c r="K36" s="718">
        <f>tertiair!J20</f>
        <v>2.2395658685277292E-2</v>
      </c>
      <c r="L36" s="718">
        <f>tertiair!K20</f>
        <v>0</v>
      </c>
      <c r="M36" s="718">
        <f ca="1">tertiair!L20</f>
        <v>0</v>
      </c>
      <c r="N36" s="718">
        <f>tertiair!M20</f>
        <v>0</v>
      </c>
      <c r="O36" s="718">
        <f ca="1">tertiair!N20</f>
        <v>0</v>
      </c>
      <c r="P36" s="718">
        <f>tertiair!O20</f>
        <v>0</v>
      </c>
      <c r="Q36" s="828">
        <f>tertiair!P20</f>
        <v>0</v>
      </c>
      <c r="R36" s="917">
        <f ca="1">SUM(C36:Q36)</f>
        <v>6901.434688903395</v>
      </c>
    </row>
    <row r="37" spans="1:18">
      <c r="A37" s="885" t="s">
        <v>225</v>
      </c>
      <c r="B37" s="892"/>
      <c r="C37" s="718">
        <f ca="1">huishoudens!B12</f>
        <v>7142.914775560459</v>
      </c>
      <c r="D37" s="718">
        <f ca="1">huishoudens!C12</f>
        <v>0</v>
      </c>
      <c r="E37" s="718">
        <f>huishoudens!D12</f>
        <v>24064.649601036002</v>
      </c>
      <c r="F37" s="718">
        <f>huishoudens!E12</f>
        <v>1410.7008254301832</v>
      </c>
      <c r="G37" s="718">
        <f>huishoudens!F12</f>
        <v>0</v>
      </c>
      <c r="H37" s="718">
        <f>huishoudens!G12</f>
        <v>0</v>
      </c>
      <c r="I37" s="718">
        <f>huishoudens!H12</f>
        <v>0</v>
      </c>
      <c r="J37" s="718">
        <f>huishoudens!I12</f>
        <v>0</v>
      </c>
      <c r="K37" s="718">
        <f>huishoudens!J12</f>
        <v>679.02927261014304</v>
      </c>
      <c r="L37" s="718">
        <f>huishoudens!K12</f>
        <v>0</v>
      </c>
      <c r="M37" s="718">
        <f>huishoudens!L12</f>
        <v>0</v>
      </c>
      <c r="N37" s="718">
        <f>huishoudens!M12</f>
        <v>0</v>
      </c>
      <c r="O37" s="718">
        <f>huishoudens!N12</f>
        <v>0</v>
      </c>
      <c r="P37" s="718">
        <f>huishoudens!O12</f>
        <v>0</v>
      </c>
      <c r="Q37" s="828">
        <f>huishoudens!P12</f>
        <v>0</v>
      </c>
      <c r="R37" s="917">
        <f ca="1">SUM(C37:Q37)</f>
        <v>33297.294474636787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1394.1703479227388</v>
      </c>
      <c r="D39" s="718">
        <f ca="1">industrie!C22</f>
        <v>0</v>
      </c>
      <c r="E39" s="718">
        <f>industrie!D22</f>
        <v>2946.9577845268004</v>
      </c>
      <c r="F39" s="718">
        <f>industrie!E22</f>
        <v>350.88607139516563</v>
      </c>
      <c r="G39" s="718">
        <f>industrie!F22</f>
        <v>1158.022792467601</v>
      </c>
      <c r="H39" s="718">
        <f>industrie!G22</f>
        <v>0</v>
      </c>
      <c r="I39" s="718">
        <f>industrie!H22</f>
        <v>0</v>
      </c>
      <c r="J39" s="718">
        <f>industrie!I22</f>
        <v>0</v>
      </c>
      <c r="K39" s="718">
        <f>industrie!J22</f>
        <v>1.5198549477584344E-2</v>
      </c>
      <c r="L39" s="718">
        <f>industrie!K22</f>
        <v>0</v>
      </c>
      <c r="M39" s="718">
        <f>industrie!L22</f>
        <v>0</v>
      </c>
      <c r="N39" s="718">
        <f>industrie!M22</f>
        <v>0</v>
      </c>
      <c r="O39" s="718">
        <f>industrie!N22</f>
        <v>0</v>
      </c>
      <c r="P39" s="718">
        <f>industrie!O22</f>
        <v>0</v>
      </c>
      <c r="Q39" s="828">
        <f>industrie!P22</f>
        <v>0</v>
      </c>
      <c r="R39" s="918">
        <f ca="1">SUM(C39:Q39)</f>
        <v>5850.0521948617834</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11337.385247408538</v>
      </c>
      <c r="D41" s="763">
        <f t="shared" ref="D41:R41" ca="1" si="4">SUM(D35:D40)</f>
        <v>0</v>
      </c>
      <c r="E41" s="763">
        <f t="shared" ca="1" si="4"/>
        <v>30431.756883963601</v>
      </c>
      <c r="F41" s="763">
        <f t="shared" si="4"/>
        <v>1798.3595516936273</v>
      </c>
      <c r="G41" s="763">
        <f t="shared" ca="1" si="4"/>
        <v>1802.2128085178908</v>
      </c>
      <c r="H41" s="763">
        <f t="shared" si="4"/>
        <v>0</v>
      </c>
      <c r="I41" s="763">
        <f t="shared" si="4"/>
        <v>0</v>
      </c>
      <c r="J41" s="763">
        <f t="shared" si="4"/>
        <v>0</v>
      </c>
      <c r="K41" s="763">
        <f t="shared" si="4"/>
        <v>679.06686681830581</v>
      </c>
      <c r="L41" s="763">
        <f t="shared" si="4"/>
        <v>0</v>
      </c>
      <c r="M41" s="763">
        <f t="shared" ca="1" si="4"/>
        <v>0</v>
      </c>
      <c r="N41" s="763">
        <f t="shared" si="4"/>
        <v>0</v>
      </c>
      <c r="O41" s="763">
        <f t="shared" ca="1" si="4"/>
        <v>0</v>
      </c>
      <c r="P41" s="763">
        <f t="shared" si="4"/>
        <v>0</v>
      </c>
      <c r="Q41" s="764">
        <f t="shared" si="4"/>
        <v>0</v>
      </c>
      <c r="R41" s="765">
        <f t="shared" ca="1" si="4"/>
        <v>46048.78135840196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256.89331335793707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256.89331335793707</v>
      </c>
    </row>
    <row r="45" spans="1:18" ht="15" thickBot="1">
      <c r="A45" s="888" t="s">
        <v>307</v>
      </c>
      <c r="B45" s="898"/>
      <c r="C45" s="727">
        <f ca="1">transport!B18</f>
        <v>6.6646678409696163</v>
      </c>
      <c r="D45" s="727">
        <f>transport!C18</f>
        <v>0</v>
      </c>
      <c r="E45" s="727">
        <f>transport!D18</f>
        <v>22.271701513722228</v>
      </c>
      <c r="F45" s="727">
        <f>transport!E18</f>
        <v>33.648997359609375</v>
      </c>
      <c r="G45" s="727">
        <f>transport!F18</f>
        <v>0</v>
      </c>
      <c r="H45" s="727">
        <f>transport!G18</f>
        <v>14611.902055547062</v>
      </c>
      <c r="I45" s="727">
        <f>transport!H18</f>
        <v>3104.3457198241745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17778.833142085539</v>
      </c>
    </row>
    <row r="46" spans="1:18" ht="15.75" thickBot="1">
      <c r="A46" s="886" t="s">
        <v>230</v>
      </c>
      <c r="B46" s="899"/>
      <c r="C46" s="763">
        <f t="shared" ref="C46:R46" ca="1" si="5">SUM(C43:C45)</f>
        <v>6.6646678409696163</v>
      </c>
      <c r="D46" s="763">
        <f t="shared" ca="1" si="5"/>
        <v>0</v>
      </c>
      <c r="E46" s="763">
        <f t="shared" si="5"/>
        <v>22.271701513722228</v>
      </c>
      <c r="F46" s="763">
        <f t="shared" si="5"/>
        <v>33.648997359609375</v>
      </c>
      <c r="G46" s="763">
        <f t="shared" si="5"/>
        <v>0</v>
      </c>
      <c r="H46" s="763">
        <f t="shared" si="5"/>
        <v>14868.795368904999</v>
      </c>
      <c r="I46" s="763">
        <f t="shared" si="5"/>
        <v>3104.3457198241745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18035.726455443477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175.91708773387683</v>
      </c>
      <c r="D48" s="718">
        <f ca="1">+landbouw!C12</f>
        <v>0</v>
      </c>
      <c r="E48" s="718">
        <f>+landbouw!D12</f>
        <v>61.007911932000013</v>
      </c>
      <c r="F48" s="718">
        <f>+landbouw!E12</f>
        <v>5.8650177585917156</v>
      </c>
      <c r="G48" s="718">
        <f>+landbouw!F12</f>
        <v>977.7406020073779</v>
      </c>
      <c r="H48" s="718">
        <f>+landbouw!G12</f>
        <v>0</v>
      </c>
      <c r="I48" s="718">
        <f>+landbouw!H12</f>
        <v>0</v>
      </c>
      <c r="J48" s="718">
        <f>+landbouw!I12</f>
        <v>0</v>
      </c>
      <c r="K48" s="718">
        <f>+landbouw!J12</f>
        <v>45.08229677361296</v>
      </c>
      <c r="L48" s="718">
        <f>+landbouw!K12</f>
        <v>0</v>
      </c>
      <c r="M48" s="718">
        <f>+landbouw!L12</f>
        <v>0</v>
      </c>
      <c r="N48" s="718">
        <f>+landbouw!M12</f>
        <v>0</v>
      </c>
      <c r="O48" s="718">
        <f>+landbouw!N12</f>
        <v>0</v>
      </c>
      <c r="P48" s="718">
        <f>+landbouw!O12</f>
        <v>0</v>
      </c>
      <c r="Q48" s="719">
        <f>+landbouw!P12</f>
        <v>0</v>
      </c>
      <c r="R48" s="761">
        <f ca="1">SUM(C48:Q48)</f>
        <v>1265.6129162054594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11519.967002983383</v>
      </c>
      <c r="D53" s="773">
        <f t="shared" ref="D53:Q53" ca="1" si="6">D41+D46+D48</f>
        <v>0</v>
      </c>
      <c r="E53" s="773">
        <f t="shared" ca="1" si="6"/>
        <v>30515.036497409321</v>
      </c>
      <c r="F53" s="773">
        <f t="shared" si="6"/>
        <v>1837.8735668118284</v>
      </c>
      <c r="G53" s="773">
        <f t="shared" ca="1" si="6"/>
        <v>2779.9534105252687</v>
      </c>
      <c r="H53" s="773">
        <f t="shared" si="6"/>
        <v>14868.795368904999</v>
      </c>
      <c r="I53" s="773">
        <f t="shared" si="6"/>
        <v>3104.3457198241745</v>
      </c>
      <c r="J53" s="773">
        <f t="shared" si="6"/>
        <v>0</v>
      </c>
      <c r="K53" s="773">
        <f t="shared" si="6"/>
        <v>724.14916359191875</v>
      </c>
      <c r="L53" s="773">
        <f t="shared" si="6"/>
        <v>0</v>
      </c>
      <c r="M53" s="773">
        <f t="shared" ca="1" si="6"/>
        <v>0</v>
      </c>
      <c r="N53" s="773">
        <f t="shared" si="6"/>
        <v>0</v>
      </c>
      <c r="O53" s="773">
        <f t="shared" ca="1" si="6"/>
        <v>0</v>
      </c>
      <c r="P53" s="773">
        <f>P41+P46+P48</f>
        <v>0</v>
      </c>
      <c r="Q53" s="774">
        <f t="shared" si="6"/>
        <v>0</v>
      </c>
      <c r="R53" s="775">
        <f ca="1">R41+R46+R48</f>
        <v>65350.120730050898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0.20012865206010877</v>
      </c>
      <c r="D55" s="836">
        <f t="shared" ca="1" si="7"/>
        <v>0</v>
      </c>
      <c r="E55" s="836">
        <f t="shared" ca="1" si="7"/>
        <v>0.20200000000000001</v>
      </c>
      <c r="F55" s="836">
        <f t="shared" si="7"/>
        <v>0.22700000000000001</v>
      </c>
      <c r="G55" s="836">
        <f t="shared" ca="1" si="7"/>
        <v>0.26700000000000002</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5436.2596214801451</v>
      </c>
      <c r="C66" s="795">
        <f>'lokale energieproductie'!B6</f>
        <v>5436.2596214801451</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5436.2596214801451</v>
      </c>
      <c r="C69" s="803">
        <f>SUM(C64:C68)</f>
        <v>5436.2596214801451</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35691.614878888402</v>
      </c>
      <c r="C4" s="478">
        <f>huishoudens!C8</f>
        <v>0</v>
      </c>
      <c r="D4" s="478">
        <f>huishoudens!D8</f>
        <v>119131.92871800001</v>
      </c>
      <c r="E4" s="478">
        <f>huishoudens!E8</f>
        <v>6214.5410811902339</v>
      </c>
      <c r="F4" s="478">
        <f>huishoudens!F8</f>
        <v>0</v>
      </c>
      <c r="G4" s="478">
        <f>huishoudens!G8</f>
        <v>0</v>
      </c>
      <c r="H4" s="478">
        <f>huishoudens!H8</f>
        <v>0</v>
      </c>
      <c r="I4" s="478">
        <f>huishoudens!I8</f>
        <v>0</v>
      </c>
      <c r="J4" s="478">
        <f>huishoudens!J8</f>
        <v>1918.1617870343025</v>
      </c>
      <c r="K4" s="478">
        <f>huishoudens!K8</f>
        <v>0</v>
      </c>
      <c r="L4" s="478">
        <f>huishoudens!L8</f>
        <v>0</v>
      </c>
      <c r="M4" s="478">
        <f>huishoudens!M8</f>
        <v>0</v>
      </c>
      <c r="N4" s="478">
        <f>huishoudens!N8</f>
        <v>20224.817798716904</v>
      </c>
      <c r="O4" s="478">
        <f>huishoudens!O8</f>
        <v>442.4233333333334</v>
      </c>
      <c r="P4" s="479">
        <f>huishoudens!P8</f>
        <v>1468.1333333333332</v>
      </c>
      <c r="Q4" s="480">
        <f>SUM(B4:P4)</f>
        <v>185091.62093049652</v>
      </c>
    </row>
    <row r="5" spans="1:17">
      <c r="A5" s="477" t="s">
        <v>156</v>
      </c>
      <c r="B5" s="478">
        <f ca="1">tertiair!B16</f>
        <v>13063.1798</v>
      </c>
      <c r="C5" s="478">
        <f ca="1">tertiair!C16</f>
        <v>0</v>
      </c>
      <c r="D5" s="478">
        <f ca="1">tertiair!D16</f>
        <v>16931.4331604</v>
      </c>
      <c r="E5" s="478">
        <f>tertiair!E16</f>
        <v>161.99407430959681</v>
      </c>
      <c r="F5" s="478">
        <f ca="1">tertiair!F16</f>
        <v>2412.6966893269282</v>
      </c>
      <c r="G5" s="478">
        <f>tertiair!G16</f>
        <v>0</v>
      </c>
      <c r="H5" s="478">
        <f>tertiair!H16</f>
        <v>0</v>
      </c>
      <c r="I5" s="478">
        <f>tertiair!I16</f>
        <v>0</v>
      </c>
      <c r="J5" s="478">
        <f>tertiair!J16</f>
        <v>6.3264572557280491E-2</v>
      </c>
      <c r="K5" s="478">
        <f>tertiair!K16</f>
        <v>0</v>
      </c>
      <c r="L5" s="478">
        <f ca="1">tertiair!L16</f>
        <v>0</v>
      </c>
      <c r="M5" s="478">
        <f>tertiair!M16</f>
        <v>0</v>
      </c>
      <c r="N5" s="478">
        <f ca="1">tertiair!N16</f>
        <v>2503.7988716748478</v>
      </c>
      <c r="O5" s="478">
        <f>tertiair!O16</f>
        <v>3.1266666666666669</v>
      </c>
      <c r="P5" s="479">
        <f>tertiair!P16</f>
        <v>38.133333333333333</v>
      </c>
      <c r="Q5" s="477">
        <f t="shared" ref="Q5:Q13" ca="1" si="0">SUM(B5:P5)</f>
        <v>35114.425860283925</v>
      </c>
    </row>
    <row r="6" spans="1:17">
      <c r="A6" s="477" t="s">
        <v>194</v>
      </c>
      <c r="B6" s="478">
        <f>'openbare verlichting'!B8</f>
        <v>929.32</v>
      </c>
      <c r="C6" s="478"/>
      <c r="D6" s="478"/>
      <c r="E6" s="478"/>
      <c r="F6" s="478"/>
      <c r="G6" s="478"/>
      <c r="H6" s="478"/>
      <c r="I6" s="478"/>
      <c r="J6" s="478"/>
      <c r="K6" s="478"/>
      <c r="L6" s="478"/>
      <c r="M6" s="478"/>
      <c r="N6" s="478"/>
      <c r="O6" s="478"/>
      <c r="P6" s="479"/>
      <c r="Q6" s="477">
        <f t="shared" si="0"/>
        <v>929.32</v>
      </c>
    </row>
    <row r="7" spans="1:17">
      <c r="A7" s="477" t="s">
        <v>112</v>
      </c>
      <c r="B7" s="478">
        <f>landbouw!B8</f>
        <v>879.02</v>
      </c>
      <c r="C7" s="478">
        <f>landbouw!C8</f>
        <v>0</v>
      </c>
      <c r="D7" s="478">
        <f>landbouw!D8</f>
        <v>302.01936600000005</v>
      </c>
      <c r="E7" s="478">
        <f>landbouw!E8</f>
        <v>25.83708263696791</v>
      </c>
      <c r="F7" s="478">
        <f>landbouw!F8</f>
        <v>3661.9498202523514</v>
      </c>
      <c r="G7" s="478">
        <f>landbouw!G8</f>
        <v>0</v>
      </c>
      <c r="H7" s="478">
        <f>landbouw!H8</f>
        <v>0</v>
      </c>
      <c r="I7" s="478">
        <f>landbouw!I8</f>
        <v>0</v>
      </c>
      <c r="J7" s="478">
        <f>landbouw!J8</f>
        <v>127.35112082941515</v>
      </c>
      <c r="K7" s="478">
        <f>landbouw!K8</f>
        <v>0</v>
      </c>
      <c r="L7" s="478">
        <f>landbouw!L8</f>
        <v>0</v>
      </c>
      <c r="M7" s="478">
        <f>landbouw!M8</f>
        <v>0</v>
      </c>
      <c r="N7" s="478">
        <f>landbouw!N8</f>
        <v>0</v>
      </c>
      <c r="O7" s="478">
        <f>landbouw!O8</f>
        <v>0</v>
      </c>
      <c r="P7" s="479">
        <f>landbouw!P8</f>
        <v>0</v>
      </c>
      <c r="Q7" s="477">
        <f t="shared" si="0"/>
        <v>4996.177389718734</v>
      </c>
    </row>
    <row r="8" spans="1:17">
      <c r="A8" s="477" t="s">
        <v>635</v>
      </c>
      <c r="B8" s="478">
        <f>industrie!B18</f>
        <v>6966.3705499999996</v>
      </c>
      <c r="C8" s="478">
        <f>industrie!C18</f>
        <v>0</v>
      </c>
      <c r="D8" s="478">
        <f>industrie!D18</f>
        <v>14588.8999234</v>
      </c>
      <c r="E8" s="478">
        <f>industrie!E18</f>
        <v>1545.7536184809057</v>
      </c>
      <c r="F8" s="478">
        <f>industrie!F18</f>
        <v>4337.1640167325877</v>
      </c>
      <c r="G8" s="478">
        <f>industrie!G18</f>
        <v>0</v>
      </c>
      <c r="H8" s="478">
        <f>industrie!H18</f>
        <v>0</v>
      </c>
      <c r="I8" s="478">
        <f>industrie!I18</f>
        <v>0</v>
      </c>
      <c r="J8" s="478">
        <f>industrie!J18</f>
        <v>4.2933755586396456E-2</v>
      </c>
      <c r="K8" s="478">
        <f>industrie!K18</f>
        <v>0</v>
      </c>
      <c r="L8" s="478">
        <f>industrie!L18</f>
        <v>0</v>
      </c>
      <c r="M8" s="478">
        <f>industrie!M18</f>
        <v>0</v>
      </c>
      <c r="N8" s="478">
        <f>industrie!N18</f>
        <v>2644.4628650471686</v>
      </c>
      <c r="O8" s="478">
        <f>industrie!O18</f>
        <v>0</v>
      </c>
      <c r="P8" s="479">
        <f>industrie!P18</f>
        <v>0</v>
      </c>
      <c r="Q8" s="477">
        <f t="shared" si="0"/>
        <v>30082.693907416251</v>
      </c>
    </row>
    <row r="9" spans="1:17" s="483" customFormat="1">
      <c r="A9" s="481" t="s">
        <v>561</v>
      </c>
      <c r="B9" s="482">
        <f>transport!B14</f>
        <v>33.301917403450446</v>
      </c>
      <c r="C9" s="482">
        <f>transport!C14</f>
        <v>0</v>
      </c>
      <c r="D9" s="482">
        <f>transport!D14</f>
        <v>110.25594808773378</v>
      </c>
      <c r="E9" s="482">
        <f>transport!E14</f>
        <v>148.23346854453467</v>
      </c>
      <c r="F9" s="482">
        <f>transport!F14</f>
        <v>0</v>
      </c>
      <c r="G9" s="482">
        <f>transport!G14</f>
        <v>54726.224927142546</v>
      </c>
      <c r="H9" s="482">
        <f>transport!H14</f>
        <v>12467.251886844075</v>
      </c>
      <c r="I9" s="482">
        <f>transport!I14</f>
        <v>0</v>
      </c>
      <c r="J9" s="482">
        <f>transport!J14</f>
        <v>0</v>
      </c>
      <c r="K9" s="482">
        <f>transport!K14</f>
        <v>0</v>
      </c>
      <c r="L9" s="482">
        <f>transport!L14</f>
        <v>0</v>
      </c>
      <c r="M9" s="482">
        <f>transport!M14</f>
        <v>3567.429862520054</v>
      </c>
      <c r="N9" s="482">
        <f>transport!N14</f>
        <v>0</v>
      </c>
      <c r="O9" s="482">
        <f>transport!O14</f>
        <v>0</v>
      </c>
      <c r="P9" s="482">
        <f>transport!P14</f>
        <v>0</v>
      </c>
      <c r="Q9" s="481">
        <f>SUM(B9:P9)</f>
        <v>71052.698010542401</v>
      </c>
    </row>
    <row r="10" spans="1:17">
      <c r="A10" s="477" t="s">
        <v>551</v>
      </c>
      <c r="B10" s="478">
        <f>transport!B54</f>
        <v>0</v>
      </c>
      <c r="C10" s="478">
        <f>transport!C54</f>
        <v>0</v>
      </c>
      <c r="D10" s="478">
        <f>transport!D54</f>
        <v>0</v>
      </c>
      <c r="E10" s="478">
        <f>transport!E54</f>
        <v>0</v>
      </c>
      <c r="F10" s="478">
        <f>transport!F54</f>
        <v>0</v>
      </c>
      <c r="G10" s="478">
        <f>transport!G54</f>
        <v>962.14724104096285</v>
      </c>
      <c r="H10" s="478">
        <f>transport!H54</f>
        <v>0</v>
      </c>
      <c r="I10" s="478">
        <f>transport!I54</f>
        <v>0</v>
      </c>
      <c r="J10" s="478">
        <f>transport!J54</f>
        <v>0</v>
      </c>
      <c r="K10" s="478">
        <f>transport!K54</f>
        <v>0</v>
      </c>
      <c r="L10" s="478">
        <f>transport!L54</f>
        <v>0</v>
      </c>
      <c r="M10" s="478">
        <f>transport!M54</f>
        <v>54.645715818637917</v>
      </c>
      <c r="N10" s="478">
        <f>transport!N54</f>
        <v>0</v>
      </c>
      <c r="O10" s="478">
        <f>transport!O54</f>
        <v>0</v>
      </c>
      <c r="P10" s="479">
        <f>transport!P54</f>
        <v>0</v>
      </c>
      <c r="Q10" s="477">
        <f t="shared" si="0"/>
        <v>1016.7929568596007</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57562.807146291845</v>
      </c>
      <c r="C14" s="488">
        <f t="shared" ref="C14:Q14" ca="1" si="1">SUM(C4:C13)</f>
        <v>0</v>
      </c>
      <c r="D14" s="488">
        <f t="shared" ca="1" si="1"/>
        <v>151064.53711588771</v>
      </c>
      <c r="E14" s="488">
        <f t="shared" si="1"/>
        <v>8096.3593251622397</v>
      </c>
      <c r="F14" s="488">
        <f t="shared" ca="1" si="1"/>
        <v>10411.810526311867</v>
      </c>
      <c r="G14" s="488">
        <f t="shared" si="1"/>
        <v>55688.372168183509</v>
      </c>
      <c r="H14" s="488">
        <f t="shared" si="1"/>
        <v>12467.251886844075</v>
      </c>
      <c r="I14" s="488">
        <f t="shared" si="1"/>
        <v>0</v>
      </c>
      <c r="J14" s="488">
        <f t="shared" si="1"/>
        <v>2045.6191061918612</v>
      </c>
      <c r="K14" s="488">
        <f t="shared" si="1"/>
        <v>0</v>
      </c>
      <c r="L14" s="488">
        <f t="shared" ca="1" si="1"/>
        <v>0</v>
      </c>
      <c r="M14" s="488">
        <f t="shared" si="1"/>
        <v>3622.0755783386921</v>
      </c>
      <c r="N14" s="488">
        <f t="shared" ca="1" si="1"/>
        <v>25373.079535438919</v>
      </c>
      <c r="O14" s="488">
        <f t="shared" si="1"/>
        <v>445.55000000000007</v>
      </c>
      <c r="P14" s="489">
        <f t="shared" si="1"/>
        <v>1506.2666666666667</v>
      </c>
      <c r="Q14" s="489">
        <f t="shared" ca="1" si="1"/>
        <v>328283.72905531741</v>
      </c>
    </row>
    <row r="16" spans="1:17">
      <c r="A16" s="491" t="s">
        <v>556</v>
      </c>
      <c r="B16" s="841">
        <f ca="1">huishoudens!B10</f>
        <v>0.2001286520601088</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7142.914775560459</v>
      </c>
      <c r="C21" s="478">
        <f t="shared" ref="C21:C30" ca="1" si="3">C4*$C$16</f>
        <v>0</v>
      </c>
      <c r="D21" s="478">
        <f t="shared" ref="D21:D30" si="4">D4*$D$16</f>
        <v>24064.649601036002</v>
      </c>
      <c r="E21" s="478">
        <f t="shared" ref="E21:E30" si="5">E4*$E$16</f>
        <v>1410.7008254301832</v>
      </c>
      <c r="F21" s="478">
        <f t="shared" ref="F21:F30" si="6">F4*$F$16</f>
        <v>0</v>
      </c>
      <c r="G21" s="478">
        <f t="shared" ref="G21:G30" si="7">G4*$G$16</f>
        <v>0</v>
      </c>
      <c r="H21" s="478">
        <f t="shared" ref="H21:H30" si="8">H4*$H$16</f>
        <v>0</v>
      </c>
      <c r="I21" s="478">
        <f t="shared" ref="I21:I30" si="9">I4*$I$16</f>
        <v>0</v>
      </c>
      <c r="J21" s="478">
        <f t="shared" ref="J21:J30" si="10">J4*$J$16</f>
        <v>679.02927261014304</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33297.294474636787</v>
      </c>
    </row>
    <row r="22" spans="1:17">
      <c r="A22" s="477" t="s">
        <v>156</v>
      </c>
      <c r="B22" s="478">
        <f t="shared" ca="1" si="2"/>
        <v>2614.3165649928414</v>
      </c>
      <c r="C22" s="478">
        <f t="shared" ca="1" si="3"/>
        <v>0</v>
      </c>
      <c r="D22" s="478">
        <f t="shared" ca="1" si="4"/>
        <v>3420.1494984008</v>
      </c>
      <c r="E22" s="478">
        <f t="shared" si="5"/>
        <v>36.77265486827848</v>
      </c>
      <c r="F22" s="478">
        <f t="shared" ca="1" si="6"/>
        <v>644.19001605028984</v>
      </c>
      <c r="G22" s="478">
        <f t="shared" si="7"/>
        <v>0</v>
      </c>
      <c r="H22" s="478">
        <f t="shared" si="8"/>
        <v>0</v>
      </c>
      <c r="I22" s="478">
        <f t="shared" si="9"/>
        <v>0</v>
      </c>
      <c r="J22" s="478">
        <f t="shared" si="10"/>
        <v>2.2395658685277292E-2</v>
      </c>
      <c r="K22" s="478">
        <f t="shared" si="11"/>
        <v>0</v>
      </c>
      <c r="L22" s="478">
        <f t="shared" ca="1" si="12"/>
        <v>0</v>
      </c>
      <c r="M22" s="478">
        <f t="shared" si="13"/>
        <v>0</v>
      </c>
      <c r="N22" s="478">
        <f t="shared" ca="1" si="14"/>
        <v>0</v>
      </c>
      <c r="O22" s="478">
        <f t="shared" si="15"/>
        <v>0</v>
      </c>
      <c r="P22" s="479">
        <f t="shared" si="16"/>
        <v>0</v>
      </c>
      <c r="Q22" s="477">
        <f t="shared" ref="Q22:Q30" ca="1" si="17">SUM(B22:P22)</f>
        <v>6715.4511299708956</v>
      </c>
    </row>
    <row r="23" spans="1:17">
      <c r="A23" s="477" t="s">
        <v>194</v>
      </c>
      <c r="B23" s="478">
        <f t="shared" ca="1" si="2"/>
        <v>185.98355893250033</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185.98355893250033</v>
      </c>
    </row>
    <row r="24" spans="1:17">
      <c r="A24" s="477" t="s">
        <v>112</v>
      </c>
      <c r="B24" s="478">
        <f t="shared" ca="1" si="2"/>
        <v>175.91708773387683</v>
      </c>
      <c r="C24" s="478">
        <f t="shared" ca="1" si="3"/>
        <v>0</v>
      </c>
      <c r="D24" s="478">
        <f t="shared" si="4"/>
        <v>61.007911932000013</v>
      </c>
      <c r="E24" s="478">
        <f t="shared" si="5"/>
        <v>5.8650177585917156</v>
      </c>
      <c r="F24" s="478">
        <f t="shared" si="6"/>
        <v>977.7406020073779</v>
      </c>
      <c r="G24" s="478">
        <f t="shared" si="7"/>
        <v>0</v>
      </c>
      <c r="H24" s="478">
        <f t="shared" si="8"/>
        <v>0</v>
      </c>
      <c r="I24" s="478">
        <f t="shared" si="9"/>
        <v>0</v>
      </c>
      <c r="J24" s="478">
        <f t="shared" si="10"/>
        <v>45.08229677361296</v>
      </c>
      <c r="K24" s="478">
        <f t="shared" si="11"/>
        <v>0</v>
      </c>
      <c r="L24" s="478">
        <f t="shared" si="12"/>
        <v>0</v>
      </c>
      <c r="M24" s="478">
        <f t="shared" si="13"/>
        <v>0</v>
      </c>
      <c r="N24" s="478">
        <f t="shared" si="14"/>
        <v>0</v>
      </c>
      <c r="O24" s="478">
        <f t="shared" si="15"/>
        <v>0</v>
      </c>
      <c r="P24" s="479">
        <f t="shared" si="16"/>
        <v>0</v>
      </c>
      <c r="Q24" s="477">
        <f t="shared" ca="1" si="17"/>
        <v>1265.6129162054594</v>
      </c>
    </row>
    <row r="25" spans="1:17">
      <c r="A25" s="477" t="s">
        <v>635</v>
      </c>
      <c r="B25" s="478">
        <f t="shared" ca="1" si="2"/>
        <v>1394.1703479227388</v>
      </c>
      <c r="C25" s="478">
        <f t="shared" ca="1" si="3"/>
        <v>0</v>
      </c>
      <c r="D25" s="478">
        <f t="shared" si="4"/>
        <v>2946.9577845268004</v>
      </c>
      <c r="E25" s="478">
        <f t="shared" si="5"/>
        <v>350.88607139516563</v>
      </c>
      <c r="F25" s="478">
        <f t="shared" si="6"/>
        <v>1158.022792467601</v>
      </c>
      <c r="G25" s="478">
        <f t="shared" si="7"/>
        <v>0</v>
      </c>
      <c r="H25" s="478">
        <f t="shared" si="8"/>
        <v>0</v>
      </c>
      <c r="I25" s="478">
        <f t="shared" si="9"/>
        <v>0</v>
      </c>
      <c r="J25" s="478">
        <f t="shared" si="10"/>
        <v>1.5198549477584344E-2</v>
      </c>
      <c r="K25" s="478">
        <f t="shared" si="11"/>
        <v>0</v>
      </c>
      <c r="L25" s="478">
        <f t="shared" si="12"/>
        <v>0</v>
      </c>
      <c r="M25" s="478">
        <f t="shared" si="13"/>
        <v>0</v>
      </c>
      <c r="N25" s="478">
        <f t="shared" si="14"/>
        <v>0</v>
      </c>
      <c r="O25" s="478">
        <f t="shared" si="15"/>
        <v>0</v>
      </c>
      <c r="P25" s="479">
        <f t="shared" si="16"/>
        <v>0</v>
      </c>
      <c r="Q25" s="477">
        <f t="shared" ca="1" si="17"/>
        <v>5850.0521948617834</v>
      </c>
    </row>
    <row r="26" spans="1:17" s="483" customFormat="1">
      <c r="A26" s="481" t="s">
        <v>561</v>
      </c>
      <c r="B26" s="835">
        <f t="shared" ca="1" si="2"/>
        <v>6.6646678409696163</v>
      </c>
      <c r="C26" s="482">
        <f t="shared" ca="1" si="3"/>
        <v>0</v>
      </c>
      <c r="D26" s="482">
        <f t="shared" si="4"/>
        <v>22.271701513722228</v>
      </c>
      <c r="E26" s="482">
        <f t="shared" si="5"/>
        <v>33.648997359609375</v>
      </c>
      <c r="F26" s="482">
        <f t="shared" si="6"/>
        <v>0</v>
      </c>
      <c r="G26" s="482">
        <f t="shared" si="7"/>
        <v>14611.902055547062</v>
      </c>
      <c r="H26" s="482">
        <f t="shared" si="8"/>
        <v>3104.3457198241745</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17778.833142085539</v>
      </c>
    </row>
    <row r="27" spans="1:17">
      <c r="A27" s="477" t="s">
        <v>551</v>
      </c>
      <c r="B27" s="478">
        <f t="shared" ca="1" si="2"/>
        <v>0</v>
      </c>
      <c r="C27" s="478">
        <f t="shared" ca="1" si="3"/>
        <v>0</v>
      </c>
      <c r="D27" s="478">
        <f t="shared" si="4"/>
        <v>0</v>
      </c>
      <c r="E27" s="478">
        <f t="shared" si="5"/>
        <v>0</v>
      </c>
      <c r="F27" s="478">
        <f t="shared" si="6"/>
        <v>0</v>
      </c>
      <c r="G27" s="478">
        <f t="shared" si="7"/>
        <v>256.89331335793707</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256.89331335793707</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11519.967002983385</v>
      </c>
      <c r="C31" s="488">
        <f t="shared" ca="1" si="18"/>
        <v>0</v>
      </c>
      <c r="D31" s="488">
        <f t="shared" ca="1" si="18"/>
        <v>30515.036497409321</v>
      </c>
      <c r="E31" s="488">
        <f t="shared" si="18"/>
        <v>1837.8735668118284</v>
      </c>
      <c r="F31" s="488">
        <f t="shared" ca="1" si="18"/>
        <v>2779.9534105252687</v>
      </c>
      <c r="G31" s="488">
        <f t="shared" si="18"/>
        <v>14868.795368904999</v>
      </c>
      <c r="H31" s="488">
        <f t="shared" si="18"/>
        <v>3104.3457198241745</v>
      </c>
      <c r="I31" s="488">
        <f t="shared" si="18"/>
        <v>0</v>
      </c>
      <c r="J31" s="488">
        <f t="shared" si="18"/>
        <v>724.14916359191875</v>
      </c>
      <c r="K31" s="488">
        <f t="shared" si="18"/>
        <v>0</v>
      </c>
      <c r="L31" s="488">
        <f t="shared" ca="1" si="18"/>
        <v>0</v>
      </c>
      <c r="M31" s="488">
        <f t="shared" si="18"/>
        <v>0</v>
      </c>
      <c r="N31" s="488">
        <f t="shared" ca="1" si="18"/>
        <v>0</v>
      </c>
      <c r="O31" s="488">
        <f t="shared" si="18"/>
        <v>0</v>
      </c>
      <c r="P31" s="489">
        <f t="shared" si="18"/>
        <v>0</v>
      </c>
      <c r="Q31" s="489">
        <f t="shared" ca="1" si="18"/>
        <v>65350.120730050898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0.2001286520601088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0.2001286520601088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0.2001286520601088</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12026</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9301</v>
      </c>
      <c r="C9" s="342">
        <v>9525</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1513.96</v>
      </c>
    </row>
    <row r="15" spans="1:6">
      <c r="A15" s="348" t="s">
        <v>184</v>
      </c>
      <c r="B15" s="334">
        <v>19</v>
      </c>
    </row>
    <row r="16" spans="1:6">
      <c r="A16" s="348" t="s">
        <v>6</v>
      </c>
      <c r="B16" s="334">
        <v>1012</v>
      </c>
    </row>
    <row r="17" spans="1:6">
      <c r="A17" s="348" t="s">
        <v>7</v>
      </c>
      <c r="B17" s="334">
        <v>52</v>
      </c>
    </row>
    <row r="18" spans="1:6">
      <c r="A18" s="348" t="s">
        <v>8</v>
      </c>
      <c r="B18" s="334">
        <v>526</v>
      </c>
    </row>
    <row r="19" spans="1:6">
      <c r="A19" s="348" t="s">
        <v>9</v>
      </c>
      <c r="B19" s="334">
        <v>379</v>
      </c>
    </row>
    <row r="20" spans="1:6">
      <c r="A20" s="348" t="s">
        <v>10</v>
      </c>
      <c r="B20" s="334">
        <v>326</v>
      </c>
    </row>
    <row r="21" spans="1:6">
      <c r="A21" s="348" t="s">
        <v>11</v>
      </c>
      <c r="B21" s="334">
        <v>83</v>
      </c>
    </row>
    <row r="22" spans="1:6">
      <c r="A22" s="348" t="s">
        <v>12</v>
      </c>
      <c r="B22" s="334">
        <v>979</v>
      </c>
    </row>
    <row r="23" spans="1:6">
      <c r="A23" s="348" t="s">
        <v>13</v>
      </c>
      <c r="B23" s="334">
        <v>3</v>
      </c>
    </row>
    <row r="24" spans="1:6">
      <c r="A24" s="348" t="s">
        <v>14</v>
      </c>
      <c r="B24" s="334">
        <v>53</v>
      </c>
    </row>
    <row r="25" spans="1:6">
      <c r="A25" s="348" t="s">
        <v>15</v>
      </c>
      <c r="B25" s="334">
        <v>0</v>
      </c>
    </row>
    <row r="26" spans="1:6">
      <c r="A26" s="348" t="s">
        <v>16</v>
      </c>
      <c r="B26" s="334">
        <v>4</v>
      </c>
    </row>
    <row r="27" spans="1:6">
      <c r="A27" s="348" t="s">
        <v>17</v>
      </c>
      <c r="B27" s="334">
        <v>16</v>
      </c>
    </row>
    <row r="28" spans="1:6" s="356" customFormat="1">
      <c r="A28" s="355" t="s">
        <v>18</v>
      </c>
      <c r="B28" s="355">
        <v>8339</v>
      </c>
    </row>
    <row r="29" spans="1:6">
      <c r="A29" s="355" t="s">
        <v>744</v>
      </c>
      <c r="B29" s="355">
        <v>188</v>
      </c>
      <c r="C29" s="356"/>
      <c r="D29" s="356"/>
      <c r="E29" s="356"/>
      <c r="F29" s="356"/>
    </row>
    <row r="30" spans="1:6">
      <c r="A30" s="341" t="s">
        <v>745</v>
      </c>
      <c r="B30" s="341">
        <v>42</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42486</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7710</v>
      </c>
      <c r="D39" s="334">
        <v>132075309</v>
      </c>
      <c r="E39" s="334">
        <v>9349</v>
      </c>
      <c r="F39" s="334">
        <v>31532665</v>
      </c>
    </row>
    <row r="40" spans="1:6">
      <c r="A40" s="348" t="s">
        <v>30</v>
      </c>
      <c r="B40" s="348" t="s">
        <v>29</v>
      </c>
      <c r="C40" s="334">
        <v>0</v>
      </c>
      <c r="D40" s="334">
        <v>0</v>
      </c>
      <c r="E40" s="334">
        <v>0</v>
      </c>
      <c r="F40" s="334">
        <v>0</v>
      </c>
    </row>
    <row r="41" spans="1:6">
      <c r="A41" s="348" t="s">
        <v>32</v>
      </c>
      <c r="B41" s="348" t="s">
        <v>33</v>
      </c>
      <c r="C41" s="334">
        <v>101</v>
      </c>
      <c r="D41" s="334">
        <v>14810727.699999999</v>
      </c>
      <c r="E41" s="334">
        <v>175</v>
      </c>
      <c r="F41" s="334">
        <v>5275000.55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8</v>
      </c>
      <c r="D44" s="334">
        <v>118226</v>
      </c>
      <c r="E44" s="334">
        <v>16</v>
      </c>
      <c r="F44" s="334">
        <v>54187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5</v>
      </c>
      <c r="F47" s="334">
        <v>277602</v>
      </c>
    </row>
    <row r="48" spans="1:6">
      <c r="A48" s="348" t="s">
        <v>32</v>
      </c>
      <c r="B48" s="348" t="s">
        <v>29</v>
      </c>
      <c r="C48" s="334">
        <v>0</v>
      </c>
      <c r="D48" s="334">
        <v>0</v>
      </c>
      <c r="E48" s="334">
        <v>0</v>
      </c>
      <c r="F48" s="334">
        <v>0</v>
      </c>
    </row>
    <row r="49" spans="1:6">
      <c r="A49" s="348" t="s">
        <v>32</v>
      </c>
      <c r="B49" s="348" t="s">
        <v>40</v>
      </c>
      <c r="C49" s="334">
        <v>0</v>
      </c>
      <c r="D49" s="334">
        <v>0</v>
      </c>
      <c r="E49" s="334">
        <v>0</v>
      </c>
      <c r="F49" s="334">
        <v>0</v>
      </c>
    </row>
    <row r="50" spans="1:6">
      <c r="A50" s="348" t="s">
        <v>32</v>
      </c>
      <c r="B50" s="348" t="s">
        <v>41</v>
      </c>
      <c r="C50" s="334">
        <v>12</v>
      </c>
      <c r="D50" s="334">
        <v>1244993</v>
      </c>
      <c r="E50" s="334">
        <v>15</v>
      </c>
      <c r="F50" s="334">
        <v>1359581</v>
      </c>
    </row>
    <row r="51" spans="1:6">
      <c r="A51" s="348" t="s">
        <v>42</v>
      </c>
      <c r="B51" s="348" t="s">
        <v>43</v>
      </c>
      <c r="C51" s="334">
        <v>13</v>
      </c>
      <c r="D51" s="334">
        <v>334833</v>
      </c>
      <c r="E51" s="334">
        <v>44</v>
      </c>
      <c r="F51" s="334">
        <v>879020</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v>
      </c>
      <c r="F54" s="334">
        <v>929320</v>
      </c>
    </row>
    <row r="55" spans="1:6">
      <c r="A55" s="348" t="s">
        <v>46</v>
      </c>
      <c r="B55" s="348" t="s">
        <v>29</v>
      </c>
      <c r="C55" s="334">
        <v>0</v>
      </c>
      <c r="D55" s="334">
        <v>0</v>
      </c>
      <c r="E55" s="334">
        <v>0</v>
      </c>
      <c r="F55" s="334">
        <v>0</v>
      </c>
    </row>
    <row r="56" spans="1:6">
      <c r="A56" s="348" t="s">
        <v>48</v>
      </c>
      <c r="B56" s="348" t="s">
        <v>29</v>
      </c>
      <c r="C56" s="334">
        <v>5</v>
      </c>
      <c r="D56" s="334">
        <v>403921</v>
      </c>
      <c r="E56" s="334">
        <v>11</v>
      </c>
      <c r="F56" s="334">
        <v>442420</v>
      </c>
    </row>
    <row r="57" spans="1:6">
      <c r="A57" s="348" t="s">
        <v>49</v>
      </c>
      <c r="B57" s="348" t="s">
        <v>50</v>
      </c>
      <c r="C57" s="334">
        <v>57</v>
      </c>
      <c r="D57" s="334">
        <v>1931462</v>
      </c>
      <c r="E57" s="334">
        <v>111</v>
      </c>
      <c r="F57" s="334">
        <v>2914601.45</v>
      </c>
    </row>
    <row r="58" spans="1:6">
      <c r="A58" s="348" t="s">
        <v>49</v>
      </c>
      <c r="B58" s="348" t="s">
        <v>51</v>
      </c>
      <c r="C58" s="334">
        <v>41</v>
      </c>
      <c r="D58" s="334">
        <v>3317601</v>
      </c>
      <c r="E58" s="334">
        <v>51</v>
      </c>
      <c r="F58" s="334">
        <v>1249712</v>
      </c>
    </row>
    <row r="59" spans="1:6">
      <c r="A59" s="348" t="s">
        <v>49</v>
      </c>
      <c r="B59" s="348" t="s">
        <v>52</v>
      </c>
      <c r="C59" s="334">
        <v>103</v>
      </c>
      <c r="D59" s="334">
        <v>2681956.5999999996</v>
      </c>
      <c r="E59" s="334">
        <v>181</v>
      </c>
      <c r="F59" s="334">
        <v>3715265.8</v>
      </c>
    </row>
    <row r="60" spans="1:6">
      <c r="A60" s="348" t="s">
        <v>49</v>
      </c>
      <c r="B60" s="348" t="s">
        <v>53</v>
      </c>
      <c r="C60" s="334">
        <v>53</v>
      </c>
      <c r="D60" s="334">
        <v>2064358.2</v>
      </c>
      <c r="E60" s="334">
        <v>75</v>
      </c>
      <c r="F60" s="334">
        <v>1462950.55</v>
      </c>
    </row>
    <row r="61" spans="1:6">
      <c r="A61" s="348" t="s">
        <v>49</v>
      </c>
      <c r="B61" s="348" t="s">
        <v>54</v>
      </c>
      <c r="C61" s="334">
        <v>173</v>
      </c>
      <c r="D61" s="334">
        <v>8225092.4000000004</v>
      </c>
      <c r="E61" s="334">
        <v>312</v>
      </c>
      <c r="F61" s="334">
        <v>3540505</v>
      </c>
    </row>
    <row r="62" spans="1:6">
      <c r="A62" s="348" t="s">
        <v>49</v>
      </c>
      <c r="B62" s="348" t="s">
        <v>55</v>
      </c>
      <c r="C62" s="334">
        <v>12</v>
      </c>
      <c r="D62" s="334">
        <v>550520</v>
      </c>
      <c r="E62" s="334">
        <v>14</v>
      </c>
      <c r="F62" s="334">
        <v>180145</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5</v>
      </c>
      <c r="D68" s="334">
        <v>112224</v>
      </c>
      <c r="E68" s="334">
        <v>8</v>
      </c>
      <c r="F68" s="334">
        <v>69849</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73355790</v>
      </c>
      <c r="E73" s="476">
        <v>73113708.186123371</v>
      </c>
    </row>
    <row r="74" spans="1:6">
      <c r="A74" s="348" t="s">
        <v>64</v>
      </c>
      <c r="B74" s="348" t="s">
        <v>657</v>
      </c>
      <c r="C74" s="1213" t="s">
        <v>659</v>
      </c>
      <c r="D74" s="476">
        <v>6208979.3783437181</v>
      </c>
      <c r="E74" s="476">
        <v>6939349.3370069833</v>
      </c>
    </row>
    <row r="75" spans="1:6">
      <c r="A75" s="348" t="s">
        <v>65</v>
      </c>
      <c r="B75" s="348" t="s">
        <v>656</v>
      </c>
      <c r="C75" s="1213" t="s">
        <v>660</v>
      </c>
      <c r="D75" s="476">
        <v>11295041</v>
      </c>
      <c r="E75" s="476">
        <v>11270075.285081839</v>
      </c>
    </row>
    <row r="76" spans="1:6">
      <c r="A76" s="348" t="s">
        <v>65</v>
      </c>
      <c r="B76" s="348" t="s">
        <v>657</v>
      </c>
      <c r="C76" s="1213" t="s">
        <v>661</v>
      </c>
      <c r="D76" s="476">
        <v>222287.37834371807</v>
      </c>
      <c r="E76" s="476">
        <v>229511.16959303533</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275771.24331256386</v>
      </c>
      <c r="C83" s="476">
        <v>276984.97804291447</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4158.9498788884048</v>
      </c>
    </row>
    <row r="92" spans="1:6">
      <c r="A92" s="341" t="s">
        <v>69</v>
      </c>
      <c r="B92" s="342">
        <v>1277.3097425917406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5094</v>
      </c>
    </row>
    <row r="98" spans="1:6">
      <c r="A98" s="348" t="s">
        <v>72</v>
      </c>
      <c r="B98" s="334">
        <v>7</v>
      </c>
    </row>
    <row r="99" spans="1:6">
      <c r="A99" s="348" t="s">
        <v>73</v>
      </c>
      <c r="B99" s="334">
        <v>111</v>
      </c>
    </row>
    <row r="100" spans="1:6">
      <c r="A100" s="348" t="s">
        <v>74</v>
      </c>
      <c r="B100" s="334">
        <v>335</v>
      </c>
    </row>
    <row r="101" spans="1:6">
      <c r="A101" s="348" t="s">
        <v>75</v>
      </c>
      <c r="B101" s="334">
        <v>106</v>
      </c>
    </row>
    <row r="102" spans="1:6">
      <c r="A102" s="348" t="s">
        <v>76</v>
      </c>
      <c r="B102" s="334">
        <v>71</v>
      </c>
    </row>
    <row r="103" spans="1:6">
      <c r="A103" s="348" t="s">
        <v>77</v>
      </c>
      <c r="B103" s="334">
        <v>316</v>
      </c>
    </row>
    <row r="104" spans="1:6">
      <c r="A104" s="348" t="s">
        <v>78</v>
      </c>
      <c r="B104" s="334">
        <v>1788</v>
      </c>
    </row>
    <row r="105" spans="1:6">
      <c r="A105" s="341" t="s">
        <v>79</v>
      </c>
      <c r="B105" s="341">
        <v>6</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1</v>
      </c>
      <c r="C122" s="334">
        <v>0</v>
      </c>
    </row>
    <row r="123" spans="1:6">
      <c r="A123" s="348" t="s">
        <v>88</v>
      </c>
      <c r="B123" s="334">
        <v>45</v>
      </c>
      <c r="C123" s="334">
        <v>87</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194</v>
      </c>
    </row>
    <row r="130" spans="1:6">
      <c r="A130" s="348" t="s">
        <v>295</v>
      </c>
      <c r="B130" s="334">
        <v>2</v>
      </c>
    </row>
    <row r="131" spans="1:6">
      <c r="A131" s="348" t="s">
        <v>296</v>
      </c>
      <c r="B131" s="334">
        <v>1</v>
      </c>
    </row>
    <row r="132" spans="1:6">
      <c r="A132" s="341" t="s">
        <v>297</v>
      </c>
      <c r="B132" s="342">
        <v>31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57562.807146291845</v>
      </c>
      <c r="C3" s="43" t="s">
        <v>170</v>
      </c>
      <c r="D3" s="43"/>
      <c r="E3" s="154"/>
      <c r="F3" s="43"/>
      <c r="G3" s="43"/>
      <c r="H3" s="43"/>
      <c r="I3" s="43"/>
      <c r="J3" s="43"/>
      <c r="K3" s="96"/>
    </row>
    <row r="4" spans="1:11">
      <c r="A4" s="383" t="s">
        <v>171</v>
      </c>
      <c r="B4" s="49">
        <f>IF(ISERROR('SEAP template'!B69),0,'SEAP template'!B69)</f>
        <v>5436.2596214801451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0.2001286520601088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929.32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929.32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0.2001286520601088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185.98355893250033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31532.665000000001</v>
      </c>
      <c r="C5" s="17">
        <f>IF(ISERROR('Eigen informatie GS &amp; warmtenet'!B57),0,'Eigen informatie GS &amp; warmtenet'!B57)</f>
        <v>0</v>
      </c>
      <c r="D5" s="30">
        <f>(SUM(HH_hh_gas_kWh,HH_rest_gas_kWh)/1000)*0.902</f>
        <v>119131.92871800001</v>
      </c>
      <c r="E5" s="17">
        <f>B46*B57</f>
        <v>6214.5410811902339</v>
      </c>
      <c r="F5" s="17">
        <f>B51*B62</f>
        <v>0</v>
      </c>
      <c r="G5" s="18"/>
      <c r="H5" s="17"/>
      <c r="I5" s="17"/>
      <c r="J5" s="17">
        <f>B50*B61+C50*C61</f>
        <v>1918.1617870343025</v>
      </c>
      <c r="K5" s="17"/>
      <c r="L5" s="17"/>
      <c r="M5" s="17"/>
      <c r="N5" s="17">
        <f>B48*B59+C48*C59</f>
        <v>20224.817798716904</v>
      </c>
      <c r="O5" s="17">
        <f>B69*B70*B71</f>
        <v>442.4233333333334</v>
      </c>
      <c r="P5" s="17">
        <f>B77*B78*B79/1000-B77*B78*B79/1000/B80</f>
        <v>1468.1333333333332</v>
      </c>
    </row>
    <row r="6" spans="1:16">
      <c r="A6" s="16" t="s">
        <v>621</v>
      </c>
      <c r="B6" s="843">
        <f>kWh_PV_kleiner_dan_10kW</f>
        <v>4158.9498788884048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35691.614878888402</v>
      </c>
      <c r="C8" s="21">
        <f>C5</f>
        <v>0</v>
      </c>
      <c r="D8" s="21">
        <f>D5</f>
        <v>119131.92871800001</v>
      </c>
      <c r="E8" s="21">
        <f>E5</f>
        <v>6214.5410811902339</v>
      </c>
      <c r="F8" s="21">
        <f>F5</f>
        <v>0</v>
      </c>
      <c r="G8" s="21"/>
      <c r="H8" s="21"/>
      <c r="I8" s="21"/>
      <c r="J8" s="21">
        <f>J5</f>
        <v>1918.1617870343025</v>
      </c>
      <c r="K8" s="21"/>
      <c r="L8" s="21">
        <f>L5</f>
        <v>0</v>
      </c>
      <c r="M8" s="21">
        <f>M5</f>
        <v>0</v>
      </c>
      <c r="N8" s="21">
        <f>N5</f>
        <v>20224.817798716904</v>
      </c>
      <c r="O8" s="21">
        <f>O5</f>
        <v>442.4233333333334</v>
      </c>
      <c r="P8" s="21">
        <f>P5</f>
        <v>1468.1333333333332</v>
      </c>
    </row>
    <row r="9" spans="1:16">
      <c r="B9" s="19"/>
      <c r="C9" s="19"/>
      <c r="D9" s="258"/>
      <c r="E9" s="19"/>
      <c r="F9" s="19"/>
      <c r="G9" s="19"/>
      <c r="H9" s="19"/>
      <c r="I9" s="19"/>
      <c r="J9" s="19"/>
      <c r="K9" s="19"/>
      <c r="L9" s="19"/>
      <c r="M9" s="19"/>
      <c r="N9" s="19"/>
      <c r="O9" s="19"/>
      <c r="P9" s="19"/>
    </row>
    <row r="10" spans="1:16">
      <c r="A10" s="24" t="s">
        <v>214</v>
      </c>
      <c r="B10" s="25">
        <f ca="1">'EF ele_warmte'!B12</f>
        <v>0.2001286520601088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7142.914775560459</v>
      </c>
      <c r="C12" s="23">
        <f ca="1">C10*C8</f>
        <v>0</v>
      </c>
      <c r="D12" s="23">
        <f>D8*D10</f>
        <v>24064.649601036002</v>
      </c>
      <c r="E12" s="23">
        <f>E10*E8</f>
        <v>1410.7008254301832</v>
      </c>
      <c r="F12" s="23">
        <f>F10*F8</f>
        <v>0</v>
      </c>
      <c r="G12" s="23"/>
      <c r="H12" s="23"/>
      <c r="I12" s="23"/>
      <c r="J12" s="23">
        <f>J10*J8</f>
        <v>679.02927261014304</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5094</v>
      </c>
      <c r="C18" s="166" t="s">
        <v>111</v>
      </c>
      <c r="D18" s="228"/>
      <c r="E18" s="15"/>
    </row>
    <row r="19" spans="1:7">
      <c r="A19" s="171" t="s">
        <v>72</v>
      </c>
      <c r="B19" s="37">
        <f>aantalw2001_ander</f>
        <v>7</v>
      </c>
      <c r="C19" s="166" t="s">
        <v>111</v>
      </c>
      <c r="D19" s="229"/>
      <c r="E19" s="15"/>
    </row>
    <row r="20" spans="1:7">
      <c r="A20" s="171" t="s">
        <v>73</v>
      </c>
      <c r="B20" s="37">
        <f>aantalw2001_propaan</f>
        <v>111</v>
      </c>
      <c r="C20" s="167">
        <f>IF(ISERROR(B20/SUM($B$20,$B$21,$B$22)*100),0,B20/SUM($B$20,$B$21,$B$22)*100)</f>
        <v>20.108695652173914</v>
      </c>
      <c r="D20" s="229"/>
      <c r="E20" s="15"/>
    </row>
    <row r="21" spans="1:7">
      <c r="A21" s="171" t="s">
        <v>74</v>
      </c>
      <c r="B21" s="37">
        <f>aantalw2001_elektriciteit</f>
        <v>335</v>
      </c>
      <c r="C21" s="167">
        <f>IF(ISERROR(B21/SUM($B$20,$B$21,$B$22)*100),0,B21/SUM($B$20,$B$21,$B$22)*100)</f>
        <v>60.688405797101453</v>
      </c>
      <c r="D21" s="229"/>
      <c r="E21" s="15"/>
    </row>
    <row r="22" spans="1:7">
      <c r="A22" s="171" t="s">
        <v>75</v>
      </c>
      <c r="B22" s="37">
        <f>aantalw2001_hout</f>
        <v>106</v>
      </c>
      <c r="C22" s="167">
        <f>IF(ISERROR(B22/SUM($B$20,$B$21,$B$22)*100),0,B22/SUM($B$20,$B$21,$B$22)*100)</f>
        <v>19.202898550724637</v>
      </c>
      <c r="D22" s="229"/>
      <c r="E22" s="15"/>
    </row>
    <row r="23" spans="1:7">
      <c r="A23" s="171" t="s">
        <v>76</v>
      </c>
      <c r="B23" s="37">
        <f>aantalw2001_niet_gespec</f>
        <v>71</v>
      </c>
      <c r="C23" s="166" t="s">
        <v>111</v>
      </c>
      <c r="D23" s="228"/>
      <c r="E23" s="15"/>
    </row>
    <row r="24" spans="1:7">
      <c r="A24" s="171" t="s">
        <v>77</v>
      </c>
      <c r="B24" s="37">
        <f>aantalw2001_steenkool</f>
        <v>316</v>
      </c>
      <c r="C24" s="166" t="s">
        <v>111</v>
      </c>
      <c r="D24" s="229"/>
      <c r="E24" s="15"/>
    </row>
    <row r="25" spans="1:7">
      <c r="A25" s="171" t="s">
        <v>78</v>
      </c>
      <c r="B25" s="37">
        <f>aantalw2001_stookolie</f>
        <v>1788</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794</v>
      </c>
      <c r="B28" s="37">
        <f>aantalHuishoudens2011</f>
        <v>9301</v>
      </c>
      <c r="C28" s="36"/>
      <c r="D28" s="228"/>
    </row>
    <row r="29" spans="1:7" s="15" customFormat="1">
      <c r="A29" s="230" t="s">
        <v>795</v>
      </c>
      <c r="B29" s="37">
        <f>SUM(HH_hh_gas_aantal,HH_rest_gas_aantal)</f>
        <v>7710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7710</v>
      </c>
      <c r="C32" s="167">
        <f>IF(ISERROR(B32/SUM($B$32,$B$34,$B$35,$B$36,$B$38,$B$39)*100),0,B32/SUM($B$32,$B$34,$B$35,$B$36,$B$38,$B$39)*100)</f>
        <v>83.586296617519523</v>
      </c>
      <c r="D32" s="233"/>
      <c r="G32" s="15"/>
    </row>
    <row r="33" spans="1:7">
      <c r="A33" s="171" t="s">
        <v>72</v>
      </c>
      <c r="B33" s="34" t="s">
        <v>111</v>
      </c>
      <c r="C33" s="167"/>
      <c r="D33" s="233"/>
      <c r="G33" s="15"/>
    </row>
    <row r="34" spans="1:7">
      <c r="A34" s="171" t="s">
        <v>73</v>
      </c>
      <c r="B34" s="33">
        <f>IF((($B$28-$B$32-$B$39-$B$77-$B$38)*C20/100)&lt;0,0,($B$28-$B$32-$B$39-$B$77-$B$38)*C20/100)</f>
        <v>293.50652173913045</v>
      </c>
      <c r="C34" s="167">
        <f>IF(ISERROR(B34/SUM($B$32,$B$34,$B$35,$B$36,$B$38,$B$39)*100),0,B34/SUM($B$32,$B$34,$B$35,$B$36,$B$38,$B$39)*100)</f>
        <v>3.1819874429654211</v>
      </c>
      <c r="D34" s="233"/>
      <c r="G34" s="15"/>
    </row>
    <row r="35" spans="1:7">
      <c r="A35" s="171" t="s">
        <v>74</v>
      </c>
      <c r="B35" s="33">
        <f>IF((($B$28-$B$32-$B$39-$B$77-$B$38)*C21/100)&lt;0,0,($B$28-$B$32-$B$39-$B$77-$B$38)*C21/100)</f>
        <v>885.80797101449275</v>
      </c>
      <c r="C35" s="167">
        <f>IF(ISERROR(B35/SUM($B$32,$B$34,$B$35,$B$36,$B$38,$B$39)*100),0,B35/SUM($B$32,$B$34,$B$35,$B$36,$B$38,$B$39)*100)</f>
        <v>9.6032954359767206</v>
      </c>
      <c r="D35" s="233"/>
      <c r="G35" s="15"/>
    </row>
    <row r="36" spans="1:7">
      <c r="A36" s="171" t="s">
        <v>75</v>
      </c>
      <c r="B36" s="33">
        <f>IF((($B$28-$B$32-$B$39-$B$77-$B$38)*C22/100)&lt;0,0,($B$28-$B$32-$B$39-$B$77-$B$38)*C22/100)</f>
        <v>280.28550724637677</v>
      </c>
      <c r="C36" s="167">
        <f>IF(ISERROR(B36/SUM($B$32,$B$34,$B$35,$B$36,$B$38,$B$39)*100),0,B36/SUM($B$32,$B$34,$B$35,$B$36,$B$38,$B$39)*100)</f>
        <v>3.0386546752642754</v>
      </c>
      <c r="D36" s="233"/>
      <c r="G36" s="15"/>
    </row>
    <row r="37" spans="1:7">
      <c r="A37" s="171" t="s">
        <v>76</v>
      </c>
      <c r="B37" s="34" t="s">
        <v>111</v>
      </c>
      <c r="C37" s="167"/>
      <c r="D37" s="173"/>
      <c r="G37" s="15"/>
    </row>
    <row r="38" spans="1:7">
      <c r="A38" s="171" t="s">
        <v>77</v>
      </c>
      <c r="B38" s="33">
        <f>IF((B24-(B29-B18)*0.1)&lt;0,0,B24-(B29-B18)*0.1)</f>
        <v>54.399999999999977</v>
      </c>
      <c r="C38" s="167">
        <f>IF(ISERROR(B38/SUM($B$32,$B$34,$B$35,$B$36,$B$38,$B$39)*100),0,B38/SUM($B$32,$B$34,$B$35,$B$36,$B$38,$B$39)*100)</f>
        <v>0.58976582827406743</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7710</v>
      </c>
      <c r="C44" s="34" t="s">
        <v>111</v>
      </c>
      <c r="D44" s="174"/>
    </row>
    <row r="45" spans="1:7">
      <c r="A45" s="171" t="s">
        <v>72</v>
      </c>
      <c r="B45" s="33" t="str">
        <f t="shared" si="0"/>
        <v>-</v>
      </c>
      <c r="C45" s="34" t="s">
        <v>111</v>
      </c>
      <c r="D45" s="174"/>
    </row>
    <row r="46" spans="1:7">
      <c r="A46" s="171" t="s">
        <v>73</v>
      </c>
      <c r="B46" s="33">
        <f t="shared" si="0"/>
        <v>293.50652173913045</v>
      </c>
      <c r="C46" s="34" t="s">
        <v>111</v>
      </c>
      <c r="D46" s="174"/>
    </row>
    <row r="47" spans="1:7">
      <c r="A47" s="171" t="s">
        <v>74</v>
      </c>
      <c r="B47" s="33">
        <f t="shared" si="0"/>
        <v>885.80797101449275</v>
      </c>
      <c r="C47" s="34" t="s">
        <v>111</v>
      </c>
      <c r="D47" s="174"/>
    </row>
    <row r="48" spans="1:7">
      <c r="A48" s="171" t="s">
        <v>75</v>
      </c>
      <c r="B48" s="33">
        <f t="shared" si="0"/>
        <v>280.28550724637677</v>
      </c>
      <c r="C48" s="33">
        <f>B48*10</f>
        <v>2802.8550724637676</v>
      </c>
      <c r="D48" s="234"/>
    </row>
    <row r="49" spans="1:6">
      <c r="A49" s="171" t="s">
        <v>76</v>
      </c>
      <c r="B49" s="33" t="str">
        <f t="shared" si="0"/>
        <v>-</v>
      </c>
      <c r="C49" s="34" t="s">
        <v>111</v>
      </c>
      <c r="D49" s="234"/>
    </row>
    <row r="50" spans="1:6">
      <c r="A50" s="171" t="s">
        <v>77</v>
      </c>
      <c r="B50" s="33">
        <f t="shared" si="0"/>
        <v>54.399999999999977</v>
      </c>
      <c r="C50" s="33">
        <f>B50*2</f>
        <v>108.79999999999995</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283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13063.1798</v>
      </c>
      <c r="C5" s="17">
        <f>IF(ISERROR('Eigen informatie GS &amp; warmtenet'!B58),0,'Eigen informatie GS &amp; warmtenet'!B58)</f>
        <v>0</v>
      </c>
      <c r="D5" s="30">
        <f>SUM(D6:D12)</f>
        <v>16931.4331604</v>
      </c>
      <c r="E5" s="17">
        <f>SUM(E6:E12)</f>
        <v>161.99407430959681</v>
      </c>
      <c r="F5" s="17">
        <f>SUM(F6:F12)</f>
        <v>2412.6966893269282</v>
      </c>
      <c r="G5" s="18"/>
      <c r="H5" s="17"/>
      <c r="I5" s="17"/>
      <c r="J5" s="17">
        <f>SUM(J6:J12)</f>
        <v>6.3264572557280491E-2</v>
      </c>
      <c r="K5" s="17"/>
      <c r="L5" s="17"/>
      <c r="M5" s="17"/>
      <c r="N5" s="17">
        <f>SUM(N6:N12)</f>
        <v>2503.7988716748478</v>
      </c>
      <c r="O5" s="17">
        <f>B38*B39*B40</f>
        <v>3.1266666666666669</v>
      </c>
      <c r="P5" s="17">
        <f>B46*B47*B48/1000-B46*B47*B48/1000/B49</f>
        <v>38.133333333333333</v>
      </c>
      <c r="R5" s="32"/>
    </row>
    <row r="6" spans="1:18">
      <c r="A6" s="32" t="s">
        <v>54</v>
      </c>
      <c r="B6" s="37">
        <f>B26</f>
        <v>3540.5050000000001</v>
      </c>
      <c r="C6" s="33"/>
      <c r="D6" s="37">
        <f>IF(ISERROR(TER_kantoor_gas_kWh/1000),0,TER_kantoor_gas_kWh/1000)*0.902</f>
        <v>7419.0333448000001</v>
      </c>
      <c r="E6" s="33">
        <f>$C$26*'E Balans VL '!I12/100/3.6*1000000</f>
        <v>2.2190707786485041E-2</v>
      </c>
      <c r="F6" s="33">
        <f>$C$26*('E Balans VL '!L12+'E Balans VL '!N12)/100/3.6*1000000</f>
        <v>532.03897035486443</v>
      </c>
      <c r="G6" s="34"/>
      <c r="H6" s="33"/>
      <c r="I6" s="33"/>
      <c r="J6" s="33">
        <f>$C$26*('E Balans VL '!D12+'E Balans VL '!E12)/100/3.6*1000000</f>
        <v>0</v>
      </c>
      <c r="K6" s="33"/>
      <c r="L6" s="33"/>
      <c r="M6" s="33"/>
      <c r="N6" s="33">
        <f>$C$26*'E Balans VL '!Y12/100/3.6*1000000</f>
        <v>3.3859680950249249</v>
      </c>
      <c r="O6" s="33"/>
      <c r="P6" s="33"/>
      <c r="R6" s="32"/>
    </row>
    <row r="7" spans="1:18">
      <c r="A7" s="32" t="s">
        <v>53</v>
      </c>
      <c r="B7" s="37">
        <f t="shared" ref="B7:B12" si="0">B27</f>
        <v>1462.95055</v>
      </c>
      <c r="C7" s="33"/>
      <c r="D7" s="37">
        <f>IF(ISERROR(TER_horeca_gas_kWh/1000),0,TER_horeca_gas_kWh/1000)*0.902</f>
        <v>1862.0510964000002</v>
      </c>
      <c r="E7" s="33">
        <f>$C$27*'E Balans VL '!I9/100/3.6*1000000</f>
        <v>20.949208194956618</v>
      </c>
      <c r="F7" s="33">
        <f>$C$27*('E Balans VL '!L9+'E Balans VL '!N9)/100/3.6*1000000</f>
        <v>185.2577895980107</v>
      </c>
      <c r="G7" s="34"/>
      <c r="H7" s="33"/>
      <c r="I7" s="33"/>
      <c r="J7" s="33">
        <f>$C$27*('E Balans VL '!D9+'E Balans VL '!E9)/100/3.6*1000000</f>
        <v>0</v>
      </c>
      <c r="K7" s="33"/>
      <c r="L7" s="33"/>
      <c r="M7" s="33"/>
      <c r="N7" s="33">
        <f>$C$27*'E Balans VL '!Y9/100/3.6*1000000</f>
        <v>0.42056602783415581</v>
      </c>
      <c r="O7" s="33"/>
      <c r="P7" s="33"/>
      <c r="R7" s="32"/>
    </row>
    <row r="8" spans="1:18">
      <c r="A8" s="6" t="s">
        <v>52</v>
      </c>
      <c r="B8" s="37">
        <f t="shared" si="0"/>
        <v>3715.2657999999997</v>
      </c>
      <c r="C8" s="33"/>
      <c r="D8" s="37">
        <f>IF(ISERROR(TER_handel_gas_kWh/1000),0,TER_handel_gas_kWh/1000)*0.902</f>
        <v>2419.1248531999995</v>
      </c>
      <c r="E8" s="33">
        <f>$C$28*'E Balans VL '!I13/100/3.6*1000000</f>
        <v>134.75223241994721</v>
      </c>
      <c r="F8" s="33">
        <f>$C$28*('E Balans VL '!L13+'E Balans VL '!N13)/100/3.6*1000000</f>
        <v>715.59781253799542</v>
      </c>
      <c r="G8" s="34"/>
      <c r="H8" s="33"/>
      <c r="I8" s="33"/>
      <c r="J8" s="33">
        <f>$C$28*('E Balans VL '!D13+'E Balans VL '!E13)/100/3.6*1000000</f>
        <v>0</v>
      </c>
      <c r="K8" s="33"/>
      <c r="L8" s="33"/>
      <c r="M8" s="33"/>
      <c r="N8" s="33">
        <f>$C$28*'E Balans VL '!Y13/100/3.6*1000000</f>
        <v>5.1464979775356561</v>
      </c>
      <c r="O8" s="33"/>
      <c r="P8" s="33"/>
      <c r="R8" s="32"/>
    </row>
    <row r="9" spans="1:18">
      <c r="A9" s="32" t="s">
        <v>51</v>
      </c>
      <c r="B9" s="37">
        <f t="shared" si="0"/>
        <v>1249.712</v>
      </c>
      <c r="C9" s="33"/>
      <c r="D9" s="37">
        <f>IF(ISERROR(TER_gezond_gas_kWh/1000),0,TER_gezond_gas_kWh/1000)*0.902</f>
        <v>2992.4761020000001</v>
      </c>
      <c r="E9" s="33">
        <f>$C$29*'E Balans VL '!I10/100/3.6*1000000</f>
        <v>7.8244309876889129E-2</v>
      </c>
      <c r="F9" s="33">
        <f>$C$29*('E Balans VL '!L10+'E Balans VL '!N10)/100/3.6*1000000</f>
        <v>185.64852261066997</v>
      </c>
      <c r="G9" s="34"/>
      <c r="H9" s="33"/>
      <c r="I9" s="33"/>
      <c r="J9" s="33">
        <f>$C$29*('E Balans VL '!D10+'E Balans VL '!E10)/100/3.6*1000000</f>
        <v>0</v>
      </c>
      <c r="K9" s="33"/>
      <c r="L9" s="33"/>
      <c r="M9" s="33"/>
      <c r="N9" s="33">
        <f>$C$29*'E Balans VL '!Y10/100/3.6*1000000</f>
        <v>19.330665802900214</v>
      </c>
      <c r="O9" s="33"/>
      <c r="P9" s="33"/>
      <c r="R9" s="32"/>
    </row>
    <row r="10" spans="1:18">
      <c r="A10" s="32" t="s">
        <v>50</v>
      </c>
      <c r="B10" s="37">
        <f t="shared" si="0"/>
        <v>2914.6014500000001</v>
      </c>
      <c r="C10" s="33"/>
      <c r="D10" s="37">
        <f>IF(ISERROR(TER_ander_gas_kWh/1000),0,TER_ander_gas_kWh/1000)*0.902</f>
        <v>1742.1787240000001</v>
      </c>
      <c r="E10" s="33">
        <f>$C$30*'E Balans VL '!I14/100/3.6*1000000</f>
        <v>3.4741007781424775</v>
      </c>
      <c r="F10" s="33">
        <f>$C$30*('E Balans VL '!L14+'E Balans VL '!N14)/100/3.6*1000000</f>
        <v>762.58931232339603</v>
      </c>
      <c r="G10" s="34"/>
      <c r="H10" s="33"/>
      <c r="I10" s="33"/>
      <c r="J10" s="33">
        <f>$C$30*('E Balans VL '!D14+'E Balans VL '!E14)/100/3.6*1000000</f>
        <v>6.3264572557280491E-2</v>
      </c>
      <c r="K10" s="33"/>
      <c r="L10" s="33"/>
      <c r="M10" s="33"/>
      <c r="N10" s="33">
        <f>$C$30*'E Balans VL '!Y14/100/3.6*1000000</f>
        <v>2475.0082320464085</v>
      </c>
      <c r="O10" s="33"/>
      <c r="P10" s="33"/>
      <c r="R10" s="32"/>
    </row>
    <row r="11" spans="1:18">
      <c r="A11" s="32" t="s">
        <v>55</v>
      </c>
      <c r="B11" s="37">
        <f t="shared" si="0"/>
        <v>180.14500000000001</v>
      </c>
      <c r="C11" s="33"/>
      <c r="D11" s="37">
        <f>IF(ISERROR(TER_onderwijs_gas_kWh/1000),0,TER_onderwijs_gas_kWh/1000)*0.902</f>
        <v>496.56903999999997</v>
      </c>
      <c r="E11" s="33">
        <f>$C$31*'E Balans VL '!I11/100/3.6*1000000</f>
        <v>2.7180978988871196</v>
      </c>
      <c r="F11" s="33">
        <f>$C$31*('E Balans VL '!L11+'E Balans VL '!N11)/100/3.6*1000000</f>
        <v>31.564281901991624</v>
      </c>
      <c r="G11" s="34"/>
      <c r="H11" s="33"/>
      <c r="I11" s="33"/>
      <c r="J11" s="33">
        <f>$C$31*('E Balans VL '!D11+'E Balans VL '!E11)/100/3.6*1000000</f>
        <v>0</v>
      </c>
      <c r="K11" s="33"/>
      <c r="L11" s="33"/>
      <c r="M11" s="33"/>
      <c r="N11" s="33">
        <f>$C$31*'E Balans VL '!Y11/100/3.6*1000000</f>
        <v>0.50694172514443669</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13063.1798</v>
      </c>
      <c r="C16" s="21">
        <f t="shared" ca="1" si="1"/>
        <v>0</v>
      </c>
      <c r="D16" s="21">
        <f t="shared" ca="1" si="1"/>
        <v>16931.4331604</v>
      </c>
      <c r="E16" s="21">
        <f t="shared" si="1"/>
        <v>161.99407430959681</v>
      </c>
      <c r="F16" s="21">
        <f t="shared" ca="1" si="1"/>
        <v>2412.6966893269282</v>
      </c>
      <c r="G16" s="21">
        <f t="shared" si="1"/>
        <v>0</v>
      </c>
      <c r="H16" s="21">
        <f t="shared" si="1"/>
        <v>0</v>
      </c>
      <c r="I16" s="21">
        <f t="shared" si="1"/>
        <v>0</v>
      </c>
      <c r="J16" s="21">
        <f t="shared" si="1"/>
        <v>6.3264572557280491E-2</v>
      </c>
      <c r="K16" s="21">
        <f t="shared" si="1"/>
        <v>0</v>
      </c>
      <c r="L16" s="21">
        <f t="shared" ca="1" si="1"/>
        <v>0</v>
      </c>
      <c r="M16" s="21">
        <f t="shared" si="1"/>
        <v>0</v>
      </c>
      <c r="N16" s="21">
        <f t="shared" ca="1" si="1"/>
        <v>2503.7988716748478</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0.2001286520601088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2614.3165649928414</v>
      </c>
      <c r="C20" s="23">
        <f t="shared" ref="C20:P20" ca="1" si="2">C16*C18</f>
        <v>0</v>
      </c>
      <c r="D20" s="23">
        <f t="shared" ca="1" si="2"/>
        <v>3420.1494984008</v>
      </c>
      <c r="E20" s="23">
        <f t="shared" si="2"/>
        <v>36.77265486827848</v>
      </c>
      <c r="F20" s="23">
        <f t="shared" ca="1" si="2"/>
        <v>644.19001605028984</v>
      </c>
      <c r="G20" s="23">
        <f t="shared" si="2"/>
        <v>0</v>
      </c>
      <c r="H20" s="23">
        <f t="shared" si="2"/>
        <v>0</v>
      </c>
      <c r="I20" s="23">
        <f t="shared" si="2"/>
        <v>0</v>
      </c>
      <c r="J20" s="23">
        <f t="shared" si="2"/>
        <v>2.2395658685277292E-2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3540.5050000000001</v>
      </c>
      <c r="C26" s="39">
        <f>IF(ISERROR(B26*3.6/1000000/'E Balans VL '!Z12*100),0,B26*3.6/1000000/'E Balans VL '!Z12*100)</f>
        <v>7.4840667087043899E-2</v>
      </c>
      <c r="D26" s="237" t="s">
        <v>754</v>
      </c>
      <c r="F26" s="6"/>
    </row>
    <row r="27" spans="1:18">
      <c r="A27" s="231" t="s">
        <v>53</v>
      </c>
      <c r="B27" s="33">
        <f>IF(ISERROR(TER_horeca_ele_kWh/1000),0,TER_horeca_ele_kWh/1000)</f>
        <v>1462.95055</v>
      </c>
      <c r="C27" s="39">
        <f>IF(ISERROR(B27*3.6/1000000/'E Balans VL '!Z9*100),0,B27*3.6/1000000/'E Balans VL '!Z9*100)</f>
        <v>0.11532384658699299</v>
      </c>
      <c r="D27" s="237" t="s">
        <v>754</v>
      </c>
      <c r="F27" s="6"/>
    </row>
    <row r="28" spans="1:18">
      <c r="A28" s="171" t="s">
        <v>52</v>
      </c>
      <c r="B28" s="33">
        <f>IF(ISERROR(TER_handel_ele_kWh/1000),0,TER_handel_ele_kWh/1000)</f>
        <v>3715.2657999999997</v>
      </c>
      <c r="C28" s="39">
        <f>IF(ISERROR(B28*3.6/1000000/'E Balans VL '!Z13*100),0,B28*3.6/1000000/'E Balans VL '!Z13*100)</f>
        <v>0.10783202487194607</v>
      </c>
      <c r="D28" s="237" t="s">
        <v>754</v>
      </c>
      <c r="F28" s="6"/>
    </row>
    <row r="29" spans="1:18">
      <c r="A29" s="231" t="s">
        <v>51</v>
      </c>
      <c r="B29" s="33">
        <f>IF(ISERROR(TER_gezond_ele_kWh/1000),0,TER_gezond_ele_kWh/1000)</f>
        <v>1249.712</v>
      </c>
      <c r="C29" s="39">
        <f>IF(ISERROR(B29*3.6/1000000/'E Balans VL '!Z10*100),0,B29*3.6/1000000/'E Balans VL '!Z10*100)</f>
        <v>0.13161519441271013</v>
      </c>
      <c r="D29" s="237" t="s">
        <v>754</v>
      </c>
      <c r="F29" s="6"/>
    </row>
    <row r="30" spans="1:18">
      <c r="A30" s="231" t="s">
        <v>50</v>
      </c>
      <c r="B30" s="33">
        <f>IF(ISERROR(TER_ander_ele_kWh/1000),0,TER_ander_ele_kWh/1000)</f>
        <v>2914.6014500000001</v>
      </c>
      <c r="C30" s="39">
        <f>IF(ISERROR(B30*3.6/1000000/'E Balans VL '!Z14*100),0,B30*3.6/1000000/'E Balans VL '!Z14*100)</f>
        <v>0.21498163600028591</v>
      </c>
      <c r="D30" s="237" t="s">
        <v>754</v>
      </c>
      <c r="F30" s="6"/>
    </row>
    <row r="31" spans="1:18">
      <c r="A31" s="231" t="s">
        <v>55</v>
      </c>
      <c r="B31" s="33">
        <f>IF(ISERROR(TER_onderwijs_ele_kWh/1000),0,TER_onderwijs_ele_kWh/1000)</f>
        <v>180.14500000000001</v>
      </c>
      <c r="C31" s="39">
        <f>IF(ISERROR(B31*3.6/1000000/'E Balans VL '!Z11*100),0,B31*3.6/1000000/'E Balans VL '!Z11*100)</f>
        <v>4.473844198875998E-2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6966.3705499999996</v>
      </c>
      <c r="C5" s="17">
        <f>IF(ISERROR('Eigen informatie GS &amp; warmtenet'!B59),0,'Eigen informatie GS &amp; warmtenet'!B59)</f>
        <v>0</v>
      </c>
      <c r="D5" s="30">
        <f>SUM(D6:D15)</f>
        <v>14588.8999234</v>
      </c>
      <c r="E5" s="17">
        <f>SUM(E6:E15)</f>
        <v>1545.7536184809057</v>
      </c>
      <c r="F5" s="17">
        <f>SUM(F6:F15)</f>
        <v>4337.1640167325877</v>
      </c>
      <c r="G5" s="18"/>
      <c r="H5" s="17"/>
      <c r="I5" s="17"/>
      <c r="J5" s="17">
        <f>SUM(J6:J15)</f>
        <v>4.2933755586396456E-2</v>
      </c>
      <c r="K5" s="17"/>
      <c r="L5" s="17"/>
      <c r="M5" s="17"/>
      <c r="N5" s="17">
        <f>SUM(N6:N15)</f>
        <v>2644.4628650471686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54.186999999999998</v>
      </c>
      <c r="C8" s="33"/>
      <c r="D8" s="37">
        <f>IF( ISERROR(IND_metaal_Gas_kWH/1000),0,IND_metaal_Gas_kWH/1000)*0.902</f>
        <v>106.639852</v>
      </c>
      <c r="E8" s="33">
        <f>C30*'E Balans VL '!I18/100/3.6*1000000</f>
        <v>0.49819713069769939</v>
      </c>
      <c r="F8" s="33">
        <f>C30*'E Balans VL '!L18/100/3.6*1000000+C30*'E Balans VL '!N18/100/3.6*1000000</f>
        <v>5.0809365321539808</v>
      </c>
      <c r="G8" s="34"/>
      <c r="H8" s="33"/>
      <c r="I8" s="33"/>
      <c r="J8" s="40">
        <f>C30*'E Balans VL '!D18/100/3.6*1000000+C30*'E Balans VL '!E18/100/3.6*1000000</f>
        <v>0</v>
      </c>
      <c r="K8" s="33"/>
      <c r="L8" s="33"/>
      <c r="M8" s="33"/>
      <c r="N8" s="33">
        <f>C30*'E Balans VL '!Y18/100/3.6*1000000</f>
        <v>0.77306710278845125</v>
      </c>
      <c r="O8" s="33"/>
      <c r="P8" s="33"/>
      <c r="R8" s="32"/>
    </row>
    <row r="9" spans="1:18">
      <c r="A9" s="6" t="s">
        <v>33</v>
      </c>
      <c r="B9" s="37">
        <f t="shared" si="0"/>
        <v>5275.0005499999997</v>
      </c>
      <c r="C9" s="33"/>
      <c r="D9" s="37">
        <f>IF( ISERROR(IND_andere_gas_kWh/1000),0,IND_andere_gas_kWh/1000)*0.902</f>
        <v>13359.2763854</v>
      </c>
      <c r="E9" s="33">
        <f>C31*'E Balans VL '!I19/100/3.6*1000000</f>
        <v>1541.9853529132395</v>
      </c>
      <c r="F9" s="33">
        <f>C31*'E Balans VL '!L19/100/3.6*1000000+C31*'E Balans VL '!N19/100/3.6*1000000</f>
        <v>4238.8622227783453</v>
      </c>
      <c r="G9" s="34"/>
      <c r="H9" s="33"/>
      <c r="I9" s="33"/>
      <c r="J9" s="40">
        <f>C31*'E Balans VL '!D19/100/3.6*1000000+C31*'E Balans VL '!E19/100/3.6*1000000</f>
        <v>0</v>
      </c>
      <c r="K9" s="33"/>
      <c r="L9" s="33"/>
      <c r="M9" s="33"/>
      <c r="N9" s="33">
        <f>C31*'E Balans VL '!Y19/100/3.6*1000000</f>
        <v>1742.9419911782352</v>
      </c>
      <c r="O9" s="33"/>
      <c r="P9" s="33"/>
      <c r="R9" s="32"/>
    </row>
    <row r="10" spans="1:18">
      <c r="A10" s="6" t="s">
        <v>41</v>
      </c>
      <c r="B10" s="37">
        <f t="shared" si="0"/>
        <v>1359.5809999999999</v>
      </c>
      <c r="C10" s="33"/>
      <c r="D10" s="37">
        <f>IF( ISERROR(IND_voed_gas_kWh/1000),0,IND_voed_gas_kWh/1000)*0.902</f>
        <v>1122.983686</v>
      </c>
      <c r="E10" s="33">
        <f>C32*'E Balans VL '!I20/100/3.6*1000000</f>
        <v>2.8762146860530802</v>
      </c>
      <c r="F10" s="33">
        <f>C32*'E Balans VL '!L20/100/3.6*1000000+C32*'E Balans VL '!N20/100/3.6*1000000</f>
        <v>86.443548751266391</v>
      </c>
      <c r="G10" s="34"/>
      <c r="H10" s="33"/>
      <c r="I10" s="33"/>
      <c r="J10" s="40">
        <f>C32*'E Balans VL '!D20/100/3.6*1000000+C32*'E Balans VL '!E20/100/3.6*1000000</f>
        <v>0</v>
      </c>
      <c r="K10" s="33"/>
      <c r="L10" s="33"/>
      <c r="M10" s="33"/>
      <c r="N10" s="33">
        <f>C32*'E Balans VL '!Y20/100/3.6*1000000</f>
        <v>93.824505673138773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277.60199999999998</v>
      </c>
      <c r="C13" s="33"/>
      <c r="D13" s="37">
        <f>IF( ISERROR(IND_papier_gas_kWh/1000),0,IND_papier_gas_kWh/1000)*0.902</f>
        <v>0</v>
      </c>
      <c r="E13" s="33">
        <f>C35*'E Balans VL '!I23/100/3.6*1000000</f>
        <v>0.39385375091544894</v>
      </c>
      <c r="F13" s="33">
        <f>C35*'E Balans VL '!L23/100/3.6*1000000+C35*'E Balans VL '!N23/100/3.6*1000000</f>
        <v>6.7773086708216645</v>
      </c>
      <c r="G13" s="34"/>
      <c r="H13" s="33"/>
      <c r="I13" s="33"/>
      <c r="J13" s="40">
        <f>C35*'E Balans VL '!D23/100/3.6*1000000+C35*'E Balans VL '!E23/100/3.6*1000000</f>
        <v>4.2933755586396456E-2</v>
      </c>
      <c r="K13" s="33"/>
      <c r="L13" s="33"/>
      <c r="M13" s="33"/>
      <c r="N13" s="33">
        <f>C35*'E Balans VL '!Y23/100/3.6*1000000</f>
        <v>806.92330109300656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6966.3705499999996</v>
      </c>
      <c r="C18" s="21">
        <f>C5+C16</f>
        <v>0</v>
      </c>
      <c r="D18" s="21">
        <f>MAX((D5+D16),0)</f>
        <v>14588.8999234</v>
      </c>
      <c r="E18" s="21">
        <f>MAX((E5+E16),0)</f>
        <v>1545.7536184809057</v>
      </c>
      <c r="F18" s="21">
        <f>MAX((F5+F16),0)</f>
        <v>4337.1640167325877</v>
      </c>
      <c r="G18" s="21"/>
      <c r="H18" s="21"/>
      <c r="I18" s="21"/>
      <c r="J18" s="21">
        <f>MAX((J5+J16),0)</f>
        <v>4.2933755586396456E-2</v>
      </c>
      <c r="K18" s="21"/>
      <c r="L18" s="21">
        <f>MAX((L5+L16),0)</f>
        <v>0</v>
      </c>
      <c r="M18" s="21"/>
      <c r="N18" s="21">
        <f>MAX((N5+N16),0)</f>
        <v>2644.4628650471686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0.2001286520601088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1394.1703479227388</v>
      </c>
      <c r="C22" s="23">
        <f ca="1">C18*C20</f>
        <v>0</v>
      </c>
      <c r="D22" s="23">
        <f>D18*D20</f>
        <v>2946.9577845268004</v>
      </c>
      <c r="E22" s="23">
        <f>E18*E20</f>
        <v>350.88607139516563</v>
      </c>
      <c r="F22" s="23">
        <f>F18*F20</f>
        <v>1158.022792467601</v>
      </c>
      <c r="G22" s="23"/>
      <c r="H22" s="23"/>
      <c r="I22" s="23"/>
      <c r="J22" s="23">
        <f>J18*J20</f>
        <v>1.5198549477584344E-2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54.186999999999998</v>
      </c>
      <c r="C30" s="39">
        <f>IF(ISERROR(B30*3.6/1000000/'E Balans VL '!Z18*100),0,B30*3.6/1000000/'E Balans VL '!Z18*100)</f>
        <v>3.0709162345556465E-3</v>
      </c>
      <c r="D30" s="237" t="s">
        <v>754</v>
      </c>
    </row>
    <row r="31" spans="1:18">
      <c r="A31" s="6" t="s">
        <v>33</v>
      </c>
      <c r="B31" s="37">
        <f>IF( ISERROR(IND_ander_ele_kWh/1000),0,IND_ander_ele_kWh/1000)</f>
        <v>5275.0005499999997</v>
      </c>
      <c r="C31" s="39">
        <f>IF(ISERROR(B31*3.6/1000000/'E Balans VL '!Z19*100),0,B31*3.6/1000000/'E Balans VL '!Z19*100)</f>
        <v>0.23925206022799902</v>
      </c>
      <c r="D31" s="237" t="s">
        <v>754</v>
      </c>
    </row>
    <row r="32" spans="1:18">
      <c r="A32" s="171" t="s">
        <v>41</v>
      </c>
      <c r="B32" s="37">
        <f>IF( ISERROR(IND_voed_ele_kWh/1000),0,IND_voed_ele_kWh/1000)</f>
        <v>1359.5809999999999</v>
      </c>
      <c r="C32" s="39">
        <f>IF(ISERROR(B32*3.6/1000000/'E Balans VL '!Z20*100),0,B32*3.6/1000000/'E Balans VL '!Z20*100)</f>
        <v>4.20580123066061E-2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277.60199999999998</v>
      </c>
      <c r="C35" s="39">
        <f>IF(ISERROR(B35*3.6/1000000/'E Balans VL '!Z22*100),0,B35*3.6/1000000/'E Balans VL '!Z22*100)</f>
        <v>4.993193871734896E-2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879.02</v>
      </c>
      <c r="C5" s="17">
        <f>'Eigen informatie GS &amp; warmtenet'!B60</f>
        <v>0</v>
      </c>
      <c r="D5" s="30">
        <f>IF(ISERROR(SUM(LB_lb_gas_kWh,LB_rest_gas_kWh,onbekend_gas_kWh)/1000),0,SUM(LB_lb_gas_kWh,LB_rest_gas_kWh,onbekend_gas_kWh)/1000)*0.902</f>
        <v>302.01936600000005</v>
      </c>
      <c r="E5" s="17">
        <f>B17*'E Balans VL '!I25/3.6*1000000/100</f>
        <v>25.83708263696791</v>
      </c>
      <c r="F5" s="17">
        <f>B17*('E Balans VL '!L25/3.6*1000000+'E Balans VL '!N25/3.6*1000000)/100</f>
        <v>3661.9498202523514</v>
      </c>
      <c r="G5" s="18"/>
      <c r="H5" s="17"/>
      <c r="I5" s="17"/>
      <c r="J5" s="17">
        <f>('E Balans VL '!D25+'E Balans VL '!E25)/3.6*1000000*landbouw!B17/100</f>
        <v>127.35112082941515</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879.02</v>
      </c>
      <c r="C8" s="21">
        <f>C5+C6</f>
        <v>0</v>
      </c>
      <c r="D8" s="21">
        <f>MAX((D5+D6),0)</f>
        <v>302.01936600000005</v>
      </c>
      <c r="E8" s="21">
        <f>MAX((E5+E6),0)</f>
        <v>25.83708263696791</v>
      </c>
      <c r="F8" s="21">
        <f>MAX((F5+F6),0)</f>
        <v>3661.9498202523514</v>
      </c>
      <c r="G8" s="21"/>
      <c r="H8" s="21"/>
      <c r="I8" s="21"/>
      <c r="J8" s="21">
        <f>MAX((J5+J6),0)</f>
        <v>127.35112082941515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0.2001286520601088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175.91708773387683</v>
      </c>
      <c r="C12" s="23">
        <f ca="1">C8*C10</f>
        <v>0</v>
      </c>
      <c r="D12" s="23">
        <f>D8*D10</f>
        <v>61.007911932000013</v>
      </c>
      <c r="E12" s="23">
        <f>E8*E10</f>
        <v>5.8650177585917156</v>
      </c>
      <c r="F12" s="23">
        <f>F8*F10</f>
        <v>977.7406020073779</v>
      </c>
      <c r="G12" s="23"/>
      <c r="H12" s="23"/>
      <c r="I12" s="23"/>
      <c r="J12" s="23">
        <f>J8*J10</f>
        <v>45.08229677361296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0.12473569584114443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211.92171275180368</v>
      </c>
      <c r="C26" s="247">
        <f>B26*'GWP N2O_CH4'!B5</f>
        <v>4450.3559677878775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47.123546087009935</v>
      </c>
      <c r="C27" s="247">
        <f>B27*'GWP N2O_CH4'!B5</f>
        <v>989.59446782720863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2.1627614885859217</v>
      </c>
      <c r="C28" s="247">
        <f>B28*'GWP N2O_CH4'!B4</f>
        <v>670.45606146163573</v>
      </c>
      <c r="D28" s="50"/>
    </row>
    <row r="29" spans="1:4">
      <c r="A29" s="41" t="s">
        <v>277</v>
      </c>
      <c r="B29" s="247">
        <f>B34*'ha_N2O bodem landbouw'!B4</f>
        <v>9.8501876933037451</v>
      </c>
      <c r="C29" s="247">
        <f>B29*'GWP N2O_CH4'!B4</f>
        <v>3053.5581849241612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2.2477788863549983E-3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1.1988690265242162E-4</v>
      </c>
      <c r="C5" s="463" t="s">
        <v>211</v>
      </c>
      <c r="D5" s="448">
        <f>SUM(D6:D11)</f>
        <v>3.9692141311584161E-4</v>
      </c>
      <c r="E5" s="448">
        <f>SUM(E6:E11)</f>
        <v>5.336404867603248E-4</v>
      </c>
      <c r="F5" s="461" t="s">
        <v>211</v>
      </c>
      <c r="G5" s="448">
        <f>SUM(G6:G11)</f>
        <v>0.19701440973771317</v>
      </c>
      <c r="H5" s="448">
        <f>SUM(H6:H11)</f>
        <v>4.4882106792638668E-2</v>
      </c>
      <c r="I5" s="463" t="s">
        <v>211</v>
      </c>
      <c r="J5" s="463" t="s">
        <v>211</v>
      </c>
      <c r="K5" s="463" t="s">
        <v>211</v>
      </c>
      <c r="L5" s="463" t="s">
        <v>211</v>
      </c>
      <c r="M5" s="448">
        <f>SUM(M6:M11)</f>
        <v>1.2842747505072196E-2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1.0389027905374589E-4</v>
      </c>
      <c r="C6" s="449"/>
      <c r="D6" s="962">
        <f>vkm_2011_GW_PW*SUMIFS(TableVerdeelsleutelVkm[CNG],TableVerdeelsleutelVkm[Voertuigtype],"Lichte voertuigen")*SUMIFS(TableECFTransport[EnergieConsumptieFactor (PJ per km)],TableECFTransport[Index],CONCATENATE($A6,"_CNG_CNG"))</f>
        <v>3.1161120956484583E-4</v>
      </c>
      <c r="E6" s="962">
        <f>vkm_2011_GW_PW*SUMIFS(TableVerdeelsleutelVkm[LPG],TableVerdeelsleutelVkm[Voertuigtype],"Lichte voertuigen")*SUMIFS(TableECFTransport[EnergieConsumptieFactor (PJ per km)],TableECFTransport[Index],CONCATENATE($A6,"_LPG_LPG"))</f>
        <v>4.2570567300992298E-4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0.11006797238900522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3.5435990459901867E-2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7.4824044085532336E-3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5.8265367270177761E-2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1.7754993981944668E-5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3.4048345930817112E-3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1.599662359867573E-5</v>
      </c>
      <c r="C8" s="449"/>
      <c r="D8" s="451">
        <f>vkm_2011_NGW_PW*SUMIFS(TableVerdeelsleutelVkm[CNG],TableVerdeelsleutelVkm[Voertuigtype],"Lichte voertuigen")*SUMIFS(TableECFTransport[EnergieConsumptieFactor (PJ per km)],TableECFTransport[Index],CONCATENATE($A8,"_CNG_CNG"))</f>
        <v>8.531020355099581E-5</v>
      </c>
      <c r="E8" s="451">
        <f>vkm_2011_NGW_PW*SUMIFS(TableVerdeelsleutelVkm[LPG],TableVerdeelsleutelVkm[Voertuigtype],"Lichte voertuigen")*SUMIFS(TableECFTransport[EnergieConsumptieFactor (PJ per km)],TableECFTransport[Index],CONCATENATE($A8,"_LPG_LPG"))</f>
        <v>1.0793481375040181E-4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2.600636656500778E-2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9.4275940370889457E-3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1.7992091282440664E-3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2.6747035135223861E-3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7.6730166590922777E-7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1.5629937519318424E-4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33.301917403450446</v>
      </c>
      <c r="C14" s="21"/>
      <c r="D14" s="21">
        <f t="shared" ref="D14:M14" si="0">((D5)*10^9/3600)+D12</f>
        <v>110.25594808773378</v>
      </c>
      <c r="E14" s="21">
        <f t="shared" si="0"/>
        <v>148.23346854453467</v>
      </c>
      <c r="F14" s="21"/>
      <c r="G14" s="21">
        <f t="shared" si="0"/>
        <v>54726.224927142546</v>
      </c>
      <c r="H14" s="21">
        <f t="shared" si="0"/>
        <v>12467.251886844075</v>
      </c>
      <c r="I14" s="21"/>
      <c r="J14" s="21"/>
      <c r="K14" s="21"/>
      <c r="L14" s="21"/>
      <c r="M14" s="21">
        <f t="shared" si="0"/>
        <v>3567.429862520054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0.2001286520601088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6.6646678409696163</v>
      </c>
      <c r="C18" s="23"/>
      <c r="D18" s="23">
        <f t="shared" ref="D18:M18" si="1">D14*D16</f>
        <v>22.271701513722228</v>
      </c>
      <c r="E18" s="23">
        <f t="shared" si="1"/>
        <v>33.648997359609375</v>
      </c>
      <c r="F18" s="23"/>
      <c r="G18" s="23">
        <f t="shared" si="1"/>
        <v>14611.902055547062</v>
      </c>
      <c r="H18" s="23">
        <f t="shared" si="1"/>
        <v>3104.3457198241745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3.4637300677474664E-3</v>
      </c>
      <c r="H50" s="321">
        <f t="shared" si="2"/>
        <v>0</v>
      </c>
      <c r="I50" s="321">
        <f t="shared" si="2"/>
        <v>0</v>
      </c>
      <c r="J50" s="321">
        <f t="shared" si="2"/>
        <v>0</v>
      </c>
      <c r="K50" s="321">
        <f t="shared" si="2"/>
        <v>0</v>
      </c>
      <c r="L50" s="321">
        <f t="shared" si="2"/>
        <v>0</v>
      </c>
      <c r="M50" s="321">
        <f t="shared" si="2"/>
        <v>1.967245769470965E-4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3.4637300677474664E-3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1.967245769470965E-4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962.14724104096285</v>
      </c>
      <c r="H54" s="21">
        <f t="shared" si="3"/>
        <v>0</v>
      </c>
      <c r="I54" s="21">
        <f t="shared" si="3"/>
        <v>0</v>
      </c>
      <c r="J54" s="21">
        <f t="shared" si="3"/>
        <v>0</v>
      </c>
      <c r="K54" s="21">
        <f t="shared" si="3"/>
        <v>0</v>
      </c>
      <c r="L54" s="21">
        <f t="shared" si="3"/>
        <v>0</v>
      </c>
      <c r="M54" s="21">
        <f t="shared" si="3"/>
        <v>54.645715818637917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0.2001286520601088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256.89331335793707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5436.2596214801451</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5436.2596214801451</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2018-09-06T12:46:08Z</dcterms:modified>
</cp:coreProperties>
</file>